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PPLICATION\q&amp;a\Oferta Economica\Con USD\"/>
    </mc:Choice>
  </mc:AlternateContent>
  <bookViews>
    <workbookView xWindow="0" yWindow="0" windowWidth="20490" windowHeight="7755"/>
  </bookViews>
  <sheets>
    <sheet name="Oferta Ejemplo" sheetId="3" r:id="rId1"/>
    <sheet name="Disparador Ejemplo" sheetId="4" r:id="rId2"/>
    <sheet name="Calculo del Disparador" sheetId="6" r:id="rId3"/>
    <sheet name="REDET DEF FEB18" sheetId="7" r:id="rId4"/>
    <sheet name="REDET DEF MAY18" sheetId="8" r:id="rId5"/>
    <sheet name="Indice Energía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8" l="1"/>
  <c r="G33" i="8"/>
  <c r="F33" i="8"/>
  <c r="E33" i="8"/>
  <c r="D33" i="8"/>
  <c r="H32" i="8"/>
  <c r="G32" i="8"/>
  <c r="F32" i="8"/>
  <c r="E32" i="8"/>
  <c r="D32" i="8"/>
  <c r="H31" i="8"/>
  <c r="H29" i="8"/>
  <c r="G29" i="8"/>
  <c r="F29" i="8"/>
  <c r="E29" i="8"/>
  <c r="D29" i="8"/>
  <c r="H28" i="8"/>
  <c r="G28" i="8"/>
  <c r="F28" i="8"/>
  <c r="E28" i="8"/>
  <c r="D28" i="8"/>
  <c r="F27" i="8"/>
  <c r="E27" i="8"/>
  <c r="D27" i="8"/>
  <c r="H33" i="7"/>
  <c r="G33" i="7"/>
  <c r="F33" i="7"/>
  <c r="E33" i="7"/>
  <c r="D33" i="7"/>
  <c r="H32" i="7"/>
  <c r="G32" i="7"/>
  <c r="F32" i="7"/>
  <c r="E32" i="7"/>
  <c r="D32" i="7"/>
  <c r="D28" i="7"/>
  <c r="E28" i="7"/>
  <c r="F28" i="7"/>
  <c r="G28" i="7"/>
  <c r="H28" i="7"/>
  <c r="D29" i="7"/>
  <c r="E29" i="7"/>
  <c r="F29" i="7"/>
  <c r="G29" i="7"/>
  <c r="H29" i="7"/>
  <c r="G59" i="8" l="1"/>
  <c r="F59" i="8"/>
  <c r="E59" i="8"/>
  <c r="E58" i="7"/>
  <c r="F58" i="7" s="1"/>
  <c r="E52" i="7" s="1"/>
  <c r="F52" i="7" l="1"/>
  <c r="H59" i="8"/>
  <c r="E52" i="8" s="1"/>
  <c r="F52" i="8" s="1"/>
  <c r="I30" i="7" l="1"/>
  <c r="H31" i="7"/>
  <c r="F27" i="7"/>
  <c r="E27" i="7"/>
  <c r="D27" i="7"/>
  <c r="F6" i="7"/>
  <c r="F7" i="7"/>
  <c r="F8" i="7"/>
  <c r="F9" i="7"/>
  <c r="F10" i="7"/>
  <c r="F11" i="7"/>
  <c r="F5" i="7"/>
  <c r="E63" i="8" l="1"/>
  <c r="F63" i="8" s="1"/>
  <c r="G63" i="8" s="1"/>
  <c r="H63" i="8" s="1"/>
  <c r="G49" i="6"/>
  <c r="H49" i="6" s="1"/>
  <c r="G42" i="6"/>
  <c r="H42" i="6" s="1"/>
  <c r="H50" i="6" l="1"/>
  <c r="I49" i="6"/>
  <c r="G50" i="6"/>
  <c r="I42" i="6"/>
  <c r="H43" i="6"/>
  <c r="H53" i="6" s="1"/>
  <c r="K7" i="6" s="1"/>
  <c r="G43" i="6"/>
  <c r="G53" i="6" s="1"/>
  <c r="J7" i="6" s="1"/>
  <c r="E51" i="7" s="1"/>
  <c r="J49" i="6" l="1"/>
  <c r="J50" i="6" s="1"/>
  <c r="I50" i="6"/>
  <c r="I43" i="6"/>
  <c r="J42" i="6"/>
  <c r="J43" i="6" s="1"/>
  <c r="J53" i="6" l="1"/>
  <c r="E51" i="8" s="1"/>
  <c r="I53" i="6"/>
  <c r="L7" i="6" s="1"/>
  <c r="E53" i="8"/>
  <c r="E62" i="7"/>
  <c r="F62" i="7" s="1"/>
  <c r="E53" i="7" s="1"/>
  <c r="F53" i="7" s="1"/>
  <c r="F51" i="7"/>
  <c r="D50" i="7"/>
  <c r="D49" i="7"/>
  <c r="F12" i="7"/>
  <c r="M7" i="6" l="1"/>
  <c r="F53" i="8"/>
  <c r="F51" i="8"/>
  <c r="F13" i="7"/>
  <c r="F14" i="7" s="1"/>
  <c r="F15" i="7" s="1"/>
  <c r="N73" i="6"/>
  <c r="N72" i="6"/>
  <c r="N71" i="6"/>
  <c r="N68" i="6"/>
  <c r="N67" i="6"/>
  <c r="N66" i="6"/>
  <c r="N33" i="6"/>
  <c r="N32" i="6"/>
  <c r="N31" i="6"/>
  <c r="N30" i="6"/>
  <c r="N22" i="6"/>
  <c r="N21" i="6"/>
  <c r="N20" i="6"/>
  <c r="N19" i="6"/>
  <c r="N18" i="6"/>
  <c r="N17" i="6"/>
  <c r="N16" i="6"/>
  <c r="L73" i="6"/>
  <c r="L72" i="6"/>
  <c r="L71" i="6"/>
  <c r="L68" i="6"/>
  <c r="L67" i="6"/>
  <c r="L66" i="6"/>
  <c r="L33" i="6"/>
  <c r="L32" i="6"/>
  <c r="L31" i="6"/>
  <c r="L30" i="6"/>
  <c r="L22" i="6"/>
  <c r="L21" i="6"/>
  <c r="L20" i="6"/>
  <c r="L19" i="6"/>
  <c r="L18" i="6"/>
  <c r="L17" i="6"/>
  <c r="L16" i="6"/>
  <c r="H22" i="6"/>
  <c r="H21" i="6"/>
  <c r="H20" i="6"/>
  <c r="H19" i="6"/>
  <c r="H18" i="6"/>
  <c r="H17" i="6"/>
  <c r="J73" i="6"/>
  <c r="J72" i="6"/>
  <c r="J71" i="6"/>
  <c r="J68" i="6"/>
  <c r="J74" i="6" s="1"/>
  <c r="J67" i="6"/>
  <c r="J66" i="6"/>
  <c r="J33" i="6"/>
  <c r="J32" i="6"/>
  <c r="J31" i="6"/>
  <c r="J30" i="6"/>
  <c r="J22" i="6"/>
  <c r="J21" i="6"/>
  <c r="J20" i="6"/>
  <c r="J19" i="6"/>
  <c r="J18" i="6"/>
  <c r="J17" i="6"/>
  <c r="J16" i="6"/>
  <c r="H73" i="6"/>
  <c r="H72" i="6"/>
  <c r="H71" i="6"/>
  <c r="H68" i="6"/>
  <c r="H67" i="6"/>
  <c r="H66" i="6"/>
  <c r="H33" i="6"/>
  <c r="H32" i="6"/>
  <c r="H31" i="6"/>
  <c r="H30" i="6"/>
  <c r="G29" i="6"/>
  <c r="H29" i="6"/>
  <c r="I29" i="6"/>
  <c r="J29" i="6"/>
  <c r="F29" i="6"/>
  <c r="H16" i="6"/>
  <c r="L74" i="6" l="1"/>
  <c r="L8" i="6" s="1"/>
  <c r="F16" i="7"/>
  <c r="L34" i="6"/>
  <c r="L6" i="6" s="1"/>
  <c r="N74" i="6"/>
  <c r="M8" i="6" s="1"/>
  <c r="E54" i="8" s="1"/>
  <c r="F54" i="8" s="1"/>
  <c r="N23" i="6"/>
  <c r="M5" i="6" s="1"/>
  <c r="E49" i="8" s="1"/>
  <c r="F49" i="8" s="1"/>
  <c r="L23" i="6"/>
  <c r="L5" i="6" s="1"/>
  <c r="N34" i="6"/>
  <c r="M6" i="6" s="1"/>
  <c r="E50" i="8" s="1"/>
  <c r="F50" i="8" s="1"/>
  <c r="J23" i="6"/>
  <c r="K5" i="6" s="1"/>
  <c r="H74" i="6"/>
  <c r="J8" i="6" s="1"/>
  <c r="E54" i="7" s="1"/>
  <c r="F54" i="7" s="1"/>
  <c r="K8" i="6"/>
  <c r="J34" i="6"/>
  <c r="K6" i="6" s="1"/>
  <c r="H34" i="6"/>
  <c r="J6" i="6" s="1"/>
  <c r="E50" i="7" s="1"/>
  <c r="F50" i="7" s="1"/>
  <c r="H23" i="6"/>
  <c r="J5" i="6" s="1"/>
  <c r="E49" i="7" s="1"/>
  <c r="F49" i="7" s="1"/>
  <c r="J32" i="8" l="1"/>
  <c r="J28" i="8"/>
  <c r="G6" i="8" s="1"/>
  <c r="J31" i="8"/>
  <c r="J27" i="8"/>
  <c r="G5" i="8" s="1"/>
  <c r="J30" i="8"/>
  <c r="J33" i="8"/>
  <c r="G11" i="8" s="1"/>
  <c r="J29" i="8"/>
  <c r="J31" i="7"/>
  <c r="G9" i="7" s="1"/>
  <c r="H9" i="7" s="1"/>
  <c r="F9" i="8" s="1"/>
  <c r="J30" i="7"/>
  <c r="J27" i="7"/>
  <c r="G5" i="7" s="1"/>
  <c r="H5" i="7" s="1"/>
  <c r="F5" i="8" s="1"/>
  <c r="J28" i="7"/>
  <c r="G6" i="7" s="1"/>
  <c r="H6" i="7" s="1"/>
  <c r="F6" i="8" s="1"/>
  <c r="J29" i="7"/>
  <c r="G7" i="7" s="1"/>
  <c r="H7" i="7" s="1"/>
  <c r="F7" i="8" s="1"/>
  <c r="J32" i="7"/>
  <c r="G10" i="7" s="1"/>
  <c r="H10" i="7" s="1"/>
  <c r="F10" i="8" s="1"/>
  <c r="J33" i="7"/>
  <c r="G11" i="7" s="1"/>
  <c r="H11" i="7" s="1"/>
  <c r="F11" i="8" s="1"/>
  <c r="G7" i="8"/>
  <c r="G9" i="8"/>
  <c r="G8" i="8"/>
  <c r="G8" i="7"/>
  <c r="H8" i="7" s="1"/>
  <c r="F8" i="8" s="1"/>
  <c r="G10" i="8"/>
  <c r="L9" i="6"/>
  <c r="L10" i="6" s="1"/>
  <c r="J9" i="6"/>
  <c r="J10" i="6" s="1"/>
  <c r="K9" i="6"/>
  <c r="K10" i="6" s="1"/>
  <c r="M9" i="6"/>
  <c r="M10" i="6" s="1"/>
  <c r="G12" i="5"/>
  <c r="F14" i="5"/>
  <c r="G14" i="5" s="1"/>
  <c r="F13" i="5"/>
  <c r="G13" i="5" s="1"/>
  <c r="F12" i="5"/>
  <c r="F8" i="5"/>
  <c r="G8" i="5" s="1"/>
  <c r="F9" i="5"/>
  <c r="G9" i="5" s="1"/>
  <c r="F7" i="5"/>
  <c r="G7" i="5" s="1"/>
  <c r="H10" i="8" l="1"/>
  <c r="H6" i="8"/>
  <c r="F12" i="8"/>
  <c r="F13" i="8" s="1"/>
  <c r="F14" i="8" s="1"/>
  <c r="F15" i="8" s="1"/>
  <c r="F16" i="8" s="1"/>
  <c r="H11" i="8"/>
  <c r="H5" i="8"/>
  <c r="H9" i="8"/>
  <c r="H7" i="8"/>
  <c r="H12" i="7"/>
  <c r="H13" i="7" s="1"/>
  <c r="H14" i="7" s="1"/>
  <c r="H15" i="7" s="1"/>
  <c r="H8" i="8"/>
  <c r="G16" i="5"/>
  <c r="G18" i="5" s="1"/>
  <c r="E10" i="4"/>
  <c r="H12" i="8" l="1"/>
  <c r="H16" i="7"/>
  <c r="O16" i="3"/>
  <c r="F12" i="3"/>
  <c r="H13" i="8" l="1"/>
  <c r="H14" i="8" s="1"/>
  <c r="H15" i="8" s="1"/>
  <c r="H16" i="8" s="1"/>
  <c r="I16" i="8" s="1"/>
  <c r="O16" i="8" s="1"/>
  <c r="I16" i="7"/>
  <c r="O16" i="7" s="1"/>
  <c r="G9" i="3"/>
  <c r="F13" i="3"/>
  <c r="F14" i="3" s="1"/>
  <c r="G6" i="3"/>
  <c r="G8" i="3"/>
  <c r="G5" i="3"/>
  <c r="G7" i="3"/>
  <c r="G10" i="3"/>
  <c r="G11" i="3"/>
  <c r="G12" i="3" l="1"/>
  <c r="F15" i="3" l="1"/>
  <c r="F16" i="3" s="1"/>
  <c r="H9" i="3" s="1"/>
  <c r="H11" i="3" l="1"/>
  <c r="H7" i="3"/>
  <c r="H16" i="3"/>
  <c r="H8" i="3"/>
  <c r="H6" i="3"/>
  <c r="H10" i="3"/>
  <c r="H5" i="3"/>
  <c r="H12" i="3"/>
  <c r="H14" i="3"/>
  <c r="H13" i="3"/>
  <c r="H15" i="3"/>
</calcChain>
</file>

<file path=xl/sharedStrings.xml><?xml version="1.0" encoding="utf-8"?>
<sst xmlns="http://schemas.openxmlformats.org/spreadsheetml/2006/main" count="382" uniqueCount="149">
  <si>
    <t xml:space="preserve">Mantenimiento de Material Rodante-Revisiones Generales de media vida. </t>
  </si>
  <si>
    <t>Utilidad del Concesionario</t>
  </si>
  <si>
    <t>Seguros</t>
  </si>
  <si>
    <t>Energía</t>
  </si>
  <si>
    <t>Mantenimiento de Infraestructura e Instalaciones Fijas</t>
  </si>
  <si>
    <t>Mantenimiento corriente de Material Rodante*</t>
  </si>
  <si>
    <t>Mano de Obra</t>
  </si>
  <si>
    <t>%</t>
  </si>
  <si>
    <t xml:space="preserve">Índices aplicables </t>
  </si>
  <si>
    <t xml:space="preserve"> (en $ de la República Argentina)</t>
  </si>
  <si>
    <t>Conceptos</t>
  </si>
  <si>
    <t>% del Subtotal</t>
  </si>
  <si>
    <t>% del TOTAL</t>
  </si>
  <si>
    <t xml:space="preserve">Subtotal Costos y Gastos Operativo </t>
  </si>
  <si>
    <t>(Fórmula)</t>
  </si>
  <si>
    <t>Item</t>
  </si>
  <si>
    <t>Factor</t>
  </si>
  <si>
    <t>Indicador</t>
  </si>
  <si>
    <r>
      <t>a</t>
    </r>
    <r>
      <rPr>
        <vertAlign val="subscript"/>
        <sz val="12"/>
        <color indexed="64"/>
        <rFont val="Arial"/>
        <family val="2"/>
      </rPr>
      <t>i</t>
    </r>
  </si>
  <si>
    <r>
      <t>k</t>
    </r>
    <r>
      <rPr>
        <vertAlign val="subscript"/>
        <sz val="12"/>
        <color indexed="64"/>
        <rFont val="Arial"/>
        <family val="2"/>
      </rPr>
      <t>i</t>
    </r>
  </si>
  <si>
    <r>
      <t>a</t>
    </r>
    <r>
      <rPr>
        <vertAlign val="subscript"/>
        <sz val="10"/>
        <color indexed="64"/>
        <rFont val="Arial"/>
        <family val="2"/>
      </rPr>
      <t>1</t>
    </r>
  </si>
  <si>
    <r>
      <t>a</t>
    </r>
    <r>
      <rPr>
        <vertAlign val="subscript"/>
        <sz val="10"/>
        <color indexed="64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</si>
  <si>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a</t>
    </r>
    <r>
      <rPr>
        <vertAlign val="subscript"/>
        <sz val="10"/>
        <color indexed="64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</si>
  <si>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a</t>
    </r>
    <r>
      <rPr>
        <vertAlign val="subscript"/>
        <sz val="10"/>
        <color indexed="64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</si>
  <si>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rPr>
        <sz val="12"/>
        <color indexed="64"/>
        <rFont val="Arial"/>
        <family val="2"/>
      </rPr>
      <t>k</t>
    </r>
    <r>
      <rPr>
        <vertAlign val="subscript"/>
        <sz val="10"/>
        <color indexed="64"/>
        <rFont val="Arial"/>
        <family val="2"/>
      </rPr>
      <t>1</t>
    </r>
  </si>
  <si>
    <r>
      <rPr>
        <sz val="12"/>
        <color indexed="64"/>
        <rFont val="Arial"/>
        <family val="2"/>
      </rPr>
      <t>k</t>
    </r>
    <r>
      <rPr>
        <vertAlign val="subscript"/>
        <sz val="10"/>
        <color indexed="64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</si>
  <si>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rPr>
        <sz val="12"/>
        <color indexed="64"/>
        <rFont val="Arial"/>
        <family val="2"/>
      </rPr>
      <t>k</t>
    </r>
    <r>
      <rPr>
        <vertAlign val="subscript"/>
        <sz val="10"/>
        <color indexed="64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</si>
  <si>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Indice Precio Referencia</t>
  </si>
  <si>
    <t>TOTAL</t>
  </si>
  <si>
    <t>Coeficiente de variación</t>
  </si>
  <si>
    <t>: valor del índice a la fecha de la redeterminación</t>
  </si>
  <si>
    <t>: valor del índice a la fecha origen de los precios de oferta</t>
  </si>
  <si>
    <t>: incidencia de cada item</t>
  </si>
  <si>
    <r>
      <rPr>
        <sz val="11"/>
        <color indexed="64"/>
        <rFont val="Arial"/>
        <family val="2"/>
      </rPr>
      <t>k</t>
    </r>
    <r>
      <rPr>
        <vertAlign val="subscript"/>
        <sz val="11"/>
        <color indexed="64"/>
        <rFont val="Arial"/>
        <family val="2"/>
      </rPr>
      <t>0</t>
    </r>
  </si>
  <si>
    <t>K=</t>
  </si>
  <si>
    <t>VARIACION DE REFERENCIA (V)</t>
  </si>
  <si>
    <t>Insumos</t>
  </si>
  <si>
    <t>Otros Gastos</t>
  </si>
  <si>
    <t>Subtotal por CKC ofertado c/impuestos</t>
  </si>
  <si>
    <t>TABLA DE ESTRUCTURA DE INSUMOS Y PONDERACIONES - LEY 2.809</t>
  </si>
  <si>
    <t>Variación de la "Compensación Total" Promedio de Nivel I, II, III, IV, V, VI y VII del Convenio CCT 384/99 E de la UTA</t>
  </si>
  <si>
    <t>Variación de la "Compensación Total" Promedio de Nivel I, II, III y IV del Convenio CCT 193/96 E de APSESBA</t>
  </si>
  <si>
    <t>Indice compuesto por el promedio aritmético de los Cuadros Tarifarios de Edenor y Edesur para Tarifa 3 Grandes Demandas - Media Tensión, potencia mayores a 300Kw, Cargo variable Pico, Cargo Variable Resto, Cargo Variable Valle</t>
  </si>
  <si>
    <t>(8) + (9)</t>
  </si>
  <si>
    <t>(10) + (11)</t>
  </si>
  <si>
    <t>Cuadro Tarifario de Edenor</t>
  </si>
  <si>
    <t>http://www.edenor.com.ar/cms/SP/EMP/ACE/EST_CUA.html</t>
  </si>
  <si>
    <t>Tarifa 3 Grandes Demandas - Media Tensión - Potencia &gt; 300 KW</t>
  </si>
  <si>
    <t>http://www.edesur.com.ar/general/cuadrotarifario.aspx</t>
  </si>
  <si>
    <t>Cuadro Tarifario de Edesur</t>
  </si>
  <si>
    <t>Ejemplo de Calculo de incremento de Energía</t>
  </si>
  <si>
    <t>Edenor</t>
  </si>
  <si>
    <t>Cargo Variable Pico</t>
  </si>
  <si>
    <t>Cargo Variable Resto</t>
  </si>
  <si>
    <t>Cargo Variable Valle</t>
  </si>
  <si>
    <t>Valor Base</t>
  </si>
  <si>
    <t>Valor Punta</t>
  </si>
  <si>
    <t>Incremento</t>
  </si>
  <si>
    <t>Edesur</t>
  </si>
  <si>
    <t>Incidencia</t>
  </si>
  <si>
    <t>INCREMENTO</t>
  </si>
  <si>
    <t>% de Aumento</t>
  </si>
  <si>
    <t>a</t>
  </si>
  <si>
    <t>b</t>
  </si>
  <si>
    <t>c</t>
  </si>
  <si>
    <t>d = c / b</t>
  </si>
  <si>
    <t>e = a . d</t>
  </si>
  <si>
    <t>Ponderación</t>
  </si>
  <si>
    <t>Se desarrolla un ejemplo tomando como mes base a Enero de 2018</t>
  </si>
  <si>
    <t>Compensación Total  de Nivel I, II, III, IV, V, VI y VII del Convenio CCT 384/99 E de la UTA</t>
  </si>
  <si>
    <t>Los valores utilizados no necesariamente se ajustan a la realidad</t>
  </si>
  <si>
    <t>Nivel III - Especialista en Centrales de Comunicaciones</t>
  </si>
  <si>
    <t>Nivel I - Conductor Especializado</t>
  </si>
  <si>
    <t xml:space="preserve">Nivel II - Conductor                      </t>
  </si>
  <si>
    <t>Nivel V - Boletero Principal Subterraneo</t>
  </si>
  <si>
    <t>Nivel IV - Guarda Subterraneo Especializado</t>
  </si>
  <si>
    <t>Nivel VI - Chofer</t>
  </si>
  <si>
    <t>Nivel VII - Medio Oficial Servicios Varios</t>
  </si>
  <si>
    <t>Ponderacion</t>
  </si>
  <si>
    <t>Base para salto 1</t>
  </si>
  <si>
    <t>Compensación Total" Promedio de Nivel I, II, III y IV</t>
  </si>
  <si>
    <t>Nivel I - Supervisor de Recaudacion</t>
  </si>
  <si>
    <t>Nivel II - Supervisro de Mant. Inst. Fijas Obras Civiles Especializado</t>
  </si>
  <si>
    <t>Nivel III - Supervisor Operador de Mant. Especializado</t>
  </si>
  <si>
    <t>Nivel IV - Supervisor Principal de Estaciones</t>
  </si>
  <si>
    <t>Los índices se tomarán de la última publicación del INDEC disponible a la fecha de la solicitud de la VR</t>
  </si>
  <si>
    <t>si hubiera correcciones a la 1° presentación la publicación del INDEC será la correspondiente a la 1° presentación</t>
  </si>
  <si>
    <t>Indice</t>
  </si>
  <si>
    <t>Para este ejemplo se tomó la publicación de Abr/18</t>
  </si>
  <si>
    <t>&gt; 4%</t>
  </si>
  <si>
    <t>Base para salto 2</t>
  </si>
  <si>
    <t>sobre Ene</t>
  </si>
  <si>
    <t>sobre Feb</t>
  </si>
  <si>
    <t>Base para salto 3</t>
  </si>
  <si>
    <t>Conclusiones: Se producen saltos en los meses de Feb/18 y May/18, por lo tanto para dichos meses se deberán calcular las Redeterminaciones Definitivas que una vez aprobadas fijaran nuevos precios contractuales, los que estarán vigentes a partir del mes del salto.</t>
  </si>
  <si>
    <t>El cálculo de los incrementos se encuentra desarrollado más abajo</t>
  </si>
  <si>
    <t>Suma 1 a 7</t>
  </si>
  <si>
    <r>
      <rPr>
        <sz val="12"/>
        <color indexed="64"/>
        <rFont val="Arial"/>
        <family val="2"/>
      </rPr>
      <t>k</t>
    </r>
    <r>
      <rPr>
        <vertAlign val="subscript"/>
        <sz val="10"/>
        <color indexed="64"/>
        <rFont val="Arial"/>
        <family val="2"/>
      </rPr>
      <t>4</t>
    </r>
  </si>
  <si>
    <t xml:space="preserve">Según Resolución 601 </t>
  </si>
  <si>
    <t>INDICES</t>
  </si>
  <si>
    <t xml:space="preserve">UTA  </t>
  </si>
  <si>
    <t>Variacion</t>
  </si>
  <si>
    <t>APSESBA</t>
  </si>
  <si>
    <t>Variación</t>
  </si>
  <si>
    <t>AR$        Mes Base Ene/18</t>
  </si>
  <si>
    <t>AR$        Mes Punta Feb/18</t>
  </si>
  <si>
    <t>Los índices se tomarán de la última publicación del INDEC disponible a la fecha de la solicitud de la Redet. Definitiva</t>
  </si>
  <si>
    <t>si hubiera correcciones a la 1° presentación, la publicación del INDEC será la correspondiente a la 1° presentación</t>
  </si>
  <si>
    <t>Cuadro 7.2.2 IPIB - D - Productos Manufacturados</t>
  </si>
  <si>
    <t>Cuadro 7.2.2 IPIB - I - Importado</t>
  </si>
  <si>
    <t>IPIB (90% 7.2.2 D + 10% 7.2.2 I)</t>
  </si>
  <si>
    <t>IPC</t>
  </si>
  <si>
    <t>ENERGIA</t>
  </si>
  <si>
    <t>Calculo de los incrementos de los distintos Conceptos</t>
  </si>
  <si>
    <t>AR$        Mes Base Feb/18</t>
  </si>
  <si>
    <t>AR$        Mes Punta May/18</t>
  </si>
  <si>
    <t>Valores inventandos para este ejemplo</t>
  </si>
  <si>
    <t>Propuesta para el cálculo de la redeterminación (según ley 2809)</t>
  </si>
  <si>
    <t>Indice compuesto: 90% de la variación de "D Productos manufacturados" + 10% de la variación de "I Importado"</t>
  </si>
  <si>
    <t>Se tomará como representativo de cada nivel del Convenio CCT 384/99 E de la UTA las categorías indicadas más abajo</t>
  </si>
  <si>
    <t>Se tomará como representativo de cada nivel del Convenio CCT 193/96 E de APSESBA las categorías indicadas más abajo</t>
  </si>
  <si>
    <t>Incremento 90% 7.2.2 IPIB D + 10% 7.2.2 IPIB I</t>
  </si>
  <si>
    <t>EJEMPLO DE ARMADO DE PLANILLA DE OFERTA</t>
  </si>
  <si>
    <t>EJEMPLO REDETERMINACION DEFINITIVA DE PRECIOS N°2 - May/18</t>
  </si>
  <si>
    <t>EJEMPLO: REDETERMINACION DEFINITIVA DE PRECIOS N°1 - Feb/18</t>
  </si>
  <si>
    <t>USD</t>
  </si>
  <si>
    <t>Valor</t>
  </si>
  <si>
    <r>
      <rPr>
        <b/>
        <sz val="10"/>
        <color indexed="64"/>
        <rFont val="Arial"/>
        <family val="2"/>
      </rPr>
      <t>(a)</t>
    </r>
    <r>
      <rPr>
        <sz val="10"/>
        <color indexed="64"/>
        <rFont val="Arial"/>
      </rPr>
      <t xml:space="preserve"> No cotizar en este punto las Revisiones Generales.</t>
    </r>
  </si>
  <si>
    <r>
      <rPr>
        <b/>
        <sz val="10"/>
        <color indexed="64"/>
        <rFont val="Arial"/>
        <family val="2"/>
      </rPr>
      <t>(b)</t>
    </r>
    <r>
      <rPr>
        <sz val="10"/>
        <color indexed="64"/>
        <rFont val="Arial"/>
        <family val="2"/>
      </rPr>
      <t xml:space="preserve"> Impuestos Directos: incluye (no taxativamente) Ingresos Brutos, Impuestos a los créditos y débitos bancarios, tasas y contribuciones.</t>
    </r>
  </si>
  <si>
    <r>
      <rPr>
        <b/>
        <sz val="10"/>
        <color indexed="64"/>
        <rFont val="Arial"/>
        <family val="2"/>
      </rPr>
      <t xml:space="preserve">(c) </t>
    </r>
    <r>
      <rPr>
        <sz val="10"/>
        <color indexed="64"/>
        <rFont val="Arial"/>
      </rPr>
      <t>El monto total expresado no incluye el Impuesto al Valor Agregado (I.V.A.).</t>
    </r>
  </si>
  <si>
    <t>W% x (8)</t>
  </si>
  <si>
    <t>Z% x (10)</t>
  </si>
  <si>
    <t>UTA                (a)</t>
  </si>
  <si>
    <t>APSESBA   (b)</t>
  </si>
  <si>
    <t>IPIB           (c)</t>
  </si>
  <si>
    <t>USD          (d)</t>
  </si>
  <si>
    <t>IPC            (e)</t>
  </si>
  <si>
    <t>COSTO DE ENERGÍA ELÉCTRICA (f)</t>
  </si>
  <si>
    <r>
      <rPr>
        <b/>
        <sz val="10"/>
        <color rgb="FF000000"/>
        <rFont val="Arial"/>
        <family val="2"/>
      </rPr>
      <t>(a)</t>
    </r>
    <r>
      <rPr>
        <sz val="10"/>
        <color rgb="FF000000"/>
        <rFont val="Arial"/>
        <family val="2"/>
      </rPr>
      <t xml:space="preserve"> Variación de la "Compensación Total" Promedio de Nivel I, II, III, IV, V, VI y VII del Convenio CCT 384/99 E de la UTA</t>
    </r>
  </si>
  <si>
    <r>
      <rPr>
        <b/>
        <sz val="10"/>
        <color rgb="FF000000"/>
        <rFont val="Arial"/>
        <family val="2"/>
      </rPr>
      <t>(b)</t>
    </r>
    <r>
      <rPr>
        <sz val="10"/>
        <color rgb="FF000000"/>
        <rFont val="Arial"/>
        <family val="2"/>
      </rPr>
      <t xml:space="preserve"> Variación de la "Compensación Total" Promedio de Nivel I, II, III y IV del Convenio CCT 193/96 E de APSESBA</t>
    </r>
  </si>
  <si>
    <r>
      <rPr>
        <b/>
        <sz val="10"/>
        <color rgb="FF000000"/>
        <rFont val="Arial"/>
        <family val="2"/>
      </rPr>
      <t>(c)</t>
    </r>
    <r>
      <rPr>
        <sz val="10"/>
        <color rgb="FF000000"/>
        <rFont val="Arial"/>
        <family val="2"/>
      </rPr>
      <t xml:space="preserve"> Indice compuesto: 90% de la variación de "D Productos manufacturados" + 10% de la variación de "I Importado", ambas variaciones surgen del  Cuadro 7.2.2 Variación porcentual del IPIB de la publicación INDEC Informa</t>
    </r>
  </si>
  <si>
    <r>
      <rPr>
        <b/>
        <sz val="10"/>
        <color indexed="64"/>
        <rFont val="Arial"/>
        <family val="2"/>
      </rPr>
      <t>(d)</t>
    </r>
    <r>
      <rPr>
        <sz val="10"/>
        <color indexed="64"/>
        <rFont val="Arial"/>
        <family val="2"/>
      </rPr>
      <t xml:space="preserve"> Variación del tipo de cambio del dólar billete tipo vendedor Banco Nación del último día hábil del mes. La incidencia podrá ser hasta 25% de cada uno de los items 2,3,6 y 7.</t>
    </r>
  </si>
  <si>
    <r>
      <rPr>
        <b/>
        <sz val="10"/>
        <color indexed="64"/>
        <rFont val="Arial"/>
        <family val="2"/>
      </rPr>
      <t>(e)</t>
    </r>
    <r>
      <rPr>
        <sz val="10"/>
        <color indexed="64"/>
        <rFont val="Arial"/>
        <family val="2"/>
      </rPr>
      <t xml:space="preserve"> Cuadro 1 -  Indice Precios al Consumidor - Nivel General - Región GBA - Publicado por el INDEC</t>
    </r>
  </si>
  <si>
    <r>
      <rPr>
        <b/>
        <sz val="10"/>
        <color indexed="64"/>
        <rFont val="Arial"/>
        <family val="2"/>
      </rPr>
      <t>(f)</t>
    </r>
    <r>
      <rPr>
        <sz val="10"/>
        <color indexed="64"/>
        <rFont val="Arial"/>
        <family val="2"/>
      </rPr>
      <t xml:space="preserve"> Indice compuesto por el promedio aritmético de los Cuadros Tarifarios de Edenor y Edesur para Tarifa 3 Grandes Demandas - Media Tensión, potencia mayores a 300Kw, Cargo variable Pico, Cargo Variable Resto, Cargo Variable Valle</t>
    </r>
  </si>
  <si>
    <t>Mantenimiento corriente de Material Rodante (a)</t>
  </si>
  <si>
    <t>Impuestos Directos (b)</t>
  </si>
  <si>
    <t xml:space="preserve">Total Costo por CKC ofertado (c ) </t>
  </si>
  <si>
    <t>Total Costo por CKC ofertado ( c )</t>
  </si>
  <si>
    <t>Total Costo por CKC ofertado (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</si>
</sst>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0.0%"/>
    <numFmt numFmtId="166" formatCode="0.0000"/>
    <numFmt numFmtId="167" formatCode="0.000"/>
    <numFmt numFmtId="168" formatCode="_ * #,##0_ ;_ * \-#,##0_ ;_ * &quot;-&quot;??_ ;_ @_ "/>
    <numFmt numFmtId="169" formatCode="_ * #,##0.0000_ ;_ * \-#,##0.0000_ ;_ * &quot;-&quot;??_ ;_ @_ "/>
    <numFmt numFmtId="170" formatCode="0.0"/>
  </numFmts>
  <fonts count="19" x14ac:knownFonts="1">
    <font>
      <sz val="10"/>
      <color indexed="64"/>
      <name val="Arial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1"/>
      <color indexed="64"/>
      <name val="Times New Roman"/>
      <family val="1"/>
    </font>
    <font>
      <sz val="11"/>
      <color indexed="64"/>
      <name val="Times New Roman"/>
      <family val="1"/>
    </font>
    <font>
      <b/>
      <sz val="8"/>
      <color indexed="64"/>
      <name val="Times New Roman"/>
      <family val="1"/>
    </font>
    <font>
      <vertAlign val="subscript"/>
      <sz val="10"/>
      <color indexed="64"/>
      <name val="Arial"/>
      <family val="2"/>
    </font>
    <font>
      <sz val="12"/>
      <color indexed="64"/>
      <name val="Arial"/>
      <family val="2"/>
    </font>
    <font>
      <vertAlign val="subscript"/>
      <sz val="12"/>
      <color indexed="64"/>
      <name val="Arial"/>
      <family val="2"/>
    </font>
    <font>
      <vertAlign val="subscript"/>
      <sz val="14"/>
      <color indexed="64"/>
      <name val="Arial"/>
      <family val="2"/>
    </font>
    <font>
      <sz val="11"/>
      <color indexed="64"/>
      <name val="Arial"/>
      <family val="2"/>
    </font>
    <font>
      <vertAlign val="subscript"/>
      <sz val="11"/>
      <color indexed="64"/>
      <name val="Arial"/>
      <family val="2"/>
    </font>
    <font>
      <b/>
      <sz val="10"/>
      <color indexed="64"/>
      <name val="Arial"/>
      <family val="2"/>
    </font>
    <font>
      <b/>
      <sz val="11"/>
      <color indexed="64"/>
      <name val="Arial"/>
      <family val="2"/>
    </font>
    <font>
      <b/>
      <sz val="12"/>
      <color indexed="64"/>
      <name val="Arial"/>
      <family val="2"/>
    </font>
    <font>
      <sz val="10"/>
      <color rgb="FF000000"/>
      <name val="Arial"/>
      <family val="2"/>
    </font>
    <font>
      <sz val="10"/>
      <color indexed="64"/>
      <name val="Arial"/>
      <family val="2"/>
    </font>
    <font>
      <b/>
      <sz val="14"/>
      <color indexed="64"/>
      <name val="Arial"/>
      <family val="2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342"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9" fontId="4" fillId="0" borderId="6" xfId="1" applyFont="1" applyBorder="1" applyAlignment="1">
      <alignment horizontal="center" vertical="center" wrapText="1"/>
    </xf>
    <xf numFmtId="9" fontId="4" fillId="0" borderId="7" xfId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9" fontId="4" fillId="0" borderId="5" xfId="1" applyFont="1" applyBorder="1" applyAlignment="1">
      <alignment horizontal="center" vertical="center" wrapText="1"/>
    </xf>
    <xf numFmtId="9" fontId="4" fillId="3" borderId="6" xfId="1" applyFont="1" applyFill="1" applyBorder="1" applyAlignment="1">
      <alignment horizontal="center" vertical="center" wrapText="1"/>
    </xf>
    <xf numFmtId="9" fontId="4" fillId="3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5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9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4" fillId="0" borderId="17" xfId="1" applyNumberFormat="1" applyFont="1" applyBorder="1" applyAlignment="1">
      <alignment horizontal="center" vertical="center" wrapText="1"/>
    </xf>
    <xf numFmtId="165" fontId="4" fillId="0" borderId="18" xfId="1" applyNumberFormat="1" applyFont="1" applyBorder="1" applyAlignment="1">
      <alignment horizontal="center" vertical="center" wrapText="1"/>
    </xf>
    <xf numFmtId="165" fontId="3" fillId="2" borderId="19" xfId="0" applyNumberFormat="1" applyFont="1" applyFill="1" applyBorder="1" applyAlignment="1">
      <alignment horizontal="center" vertical="center" wrapText="1"/>
    </xf>
    <xf numFmtId="165" fontId="4" fillId="0" borderId="20" xfId="1" applyNumberFormat="1" applyFont="1" applyBorder="1" applyAlignment="1">
      <alignment horizontal="center" vertical="center" wrapText="1"/>
    </xf>
    <xf numFmtId="9" fontId="3" fillId="2" borderId="19" xfId="0" applyNumberFormat="1" applyFont="1" applyFill="1" applyBorder="1" applyAlignment="1">
      <alignment horizontal="center" vertical="center" wrapText="1"/>
    </xf>
    <xf numFmtId="165" fontId="4" fillId="0" borderId="6" xfId="1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9" fontId="4" fillId="0" borderId="22" xfId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/>
    <xf numFmtId="0" fontId="0" fillId="0" borderId="29" xfId="0" applyBorder="1" applyAlignment="1">
      <alignment horizontal="center" vertical="center"/>
    </xf>
    <xf numFmtId="9" fontId="4" fillId="0" borderId="6" xfId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9" fontId="4" fillId="0" borderId="32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3" fillId="0" borderId="37" xfId="0" applyFont="1" applyBorder="1" applyAlignment="1">
      <alignment wrapText="1"/>
    </xf>
    <xf numFmtId="9" fontId="12" fillId="0" borderId="37" xfId="0" applyNumberFormat="1" applyFont="1" applyBorder="1" applyAlignment="1">
      <alignment horizontal="center" vertical="center" wrapText="1"/>
    </xf>
    <xf numFmtId="17" fontId="0" fillId="0" borderId="0" xfId="0" applyNumberFormat="1"/>
    <xf numFmtId="165" fontId="4" fillId="0" borderId="32" xfId="1" applyNumberFormat="1" applyFont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vertical="center" wrapText="1"/>
    </xf>
    <xf numFmtId="165" fontId="4" fillId="4" borderId="6" xfId="1" applyNumberFormat="1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9" fontId="4" fillId="0" borderId="23" xfId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0" xfId="0" applyBorder="1"/>
    <xf numFmtId="9" fontId="1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0" borderId="0" xfId="0" applyFont="1"/>
    <xf numFmtId="0" fontId="0" fillId="5" borderId="0" xfId="0" applyFill="1"/>
    <xf numFmtId="0" fontId="12" fillId="5" borderId="3" xfId="0" applyFont="1" applyFill="1" applyBorder="1"/>
    <xf numFmtId="0" fontId="0" fillId="5" borderId="3" xfId="0" applyFill="1" applyBorder="1"/>
    <xf numFmtId="0" fontId="2" fillId="5" borderId="2" xfId="0" applyFont="1" applyFill="1" applyBorder="1"/>
    <xf numFmtId="12" fontId="0" fillId="5" borderId="2" xfId="0" applyNumberFormat="1" applyFill="1" applyBorder="1" applyAlignment="1">
      <alignment horizontal="center"/>
    </xf>
    <xf numFmtId="0" fontId="0" fillId="5" borderId="2" xfId="0" applyFill="1" applyBorder="1"/>
    <xf numFmtId="0" fontId="12" fillId="5" borderId="2" xfId="0" applyFont="1" applyFill="1" applyBorder="1"/>
    <xf numFmtId="0" fontId="2" fillId="5" borderId="32" xfId="0" applyFont="1" applyFill="1" applyBorder="1"/>
    <xf numFmtId="12" fontId="0" fillId="5" borderId="32" xfId="0" applyNumberFormat="1" applyFill="1" applyBorder="1" applyAlignment="1">
      <alignment horizontal="center"/>
    </xf>
    <xf numFmtId="0" fontId="0" fillId="5" borderId="32" xfId="0" applyFill="1" applyBorder="1"/>
    <xf numFmtId="0" fontId="0" fillId="5" borderId="47" xfId="0" applyFill="1" applyBorder="1"/>
    <xf numFmtId="0" fontId="0" fillId="5" borderId="48" xfId="0" applyFill="1" applyBorder="1"/>
    <xf numFmtId="0" fontId="0" fillId="5" borderId="13" xfId="0" applyFill="1" applyBorder="1"/>
    <xf numFmtId="0" fontId="12" fillId="5" borderId="49" xfId="0" applyFont="1" applyFill="1" applyBorder="1"/>
    <xf numFmtId="0" fontId="0" fillId="5" borderId="0" xfId="0" applyFill="1" applyBorder="1"/>
    <xf numFmtId="0" fontId="0" fillId="5" borderId="49" xfId="0" applyFill="1" applyBorder="1"/>
    <xf numFmtId="0" fontId="12" fillId="5" borderId="50" xfId="0" applyFont="1" applyFill="1" applyBorder="1"/>
    <xf numFmtId="0" fontId="0" fillId="5" borderId="51" xfId="0" applyFill="1" applyBorder="1"/>
    <xf numFmtId="0" fontId="12" fillId="5" borderId="15" xfId="0" applyFont="1" applyFill="1" applyBorder="1"/>
    <xf numFmtId="10" fontId="12" fillId="5" borderId="52" xfId="1" applyNumberFormat="1" applyFont="1" applyFill="1" applyBorder="1"/>
    <xf numFmtId="167" fontId="0" fillId="5" borderId="2" xfId="0" applyNumberFormat="1" applyFill="1" applyBorder="1"/>
    <xf numFmtId="167" fontId="0" fillId="5" borderId="32" xfId="0" applyNumberFormat="1" applyFill="1" applyBorder="1"/>
    <xf numFmtId="0" fontId="2" fillId="5" borderId="3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0" fillId="0" borderId="0" xfId="0" applyAlignment="1">
      <alignment vertical="center"/>
    </xf>
    <xf numFmtId="165" fontId="0" fillId="0" borderId="0" xfId="1" applyNumberFormat="1" applyFont="1" applyAlignment="1">
      <alignment vertical="center"/>
    </xf>
    <xf numFmtId="169" fontId="0" fillId="0" borderId="0" xfId="0" applyNumberFormat="1" applyAlignment="1">
      <alignment vertical="center"/>
    </xf>
    <xf numFmtId="10" fontId="0" fillId="0" borderId="0" xfId="0" applyNumberFormat="1"/>
    <xf numFmtId="0" fontId="0" fillId="0" borderId="0" xfId="0" applyFill="1" applyBorder="1"/>
    <xf numFmtId="0" fontId="0" fillId="0" borderId="3" xfId="0" applyBorder="1"/>
    <xf numFmtId="0" fontId="0" fillId="0" borderId="2" xfId="0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66" fontId="0" fillId="0" borderId="2" xfId="0" applyNumberFormat="1" applyBorder="1" applyAlignment="1">
      <alignment horizontal="center" vertical="center"/>
    </xf>
    <xf numFmtId="169" fontId="0" fillId="6" borderId="2" xfId="0" applyNumberFormat="1" applyFill="1" applyBorder="1" applyAlignment="1">
      <alignment vertical="center"/>
    </xf>
    <xf numFmtId="169" fontId="0" fillId="0" borderId="2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165" fontId="0" fillId="0" borderId="32" xfId="1" applyNumberFormat="1" applyFont="1" applyBorder="1" applyAlignment="1">
      <alignment vertical="center"/>
    </xf>
    <xf numFmtId="166" fontId="0" fillId="0" borderId="32" xfId="0" applyNumberFormat="1" applyBorder="1" applyAlignment="1">
      <alignment horizontal="center" vertical="center"/>
    </xf>
    <xf numFmtId="169" fontId="2" fillId="6" borderId="32" xfId="0" applyNumberFormat="1" applyFont="1" applyFill="1" applyBorder="1" applyAlignment="1">
      <alignment horizontal="right" vertical="center"/>
    </xf>
    <xf numFmtId="169" fontId="0" fillId="0" borderId="32" xfId="0" applyNumberFormat="1" applyBorder="1" applyAlignment="1">
      <alignment vertical="center"/>
    </xf>
    <xf numFmtId="17" fontId="0" fillId="0" borderId="6" xfId="0" applyNumberFormat="1" applyBorder="1" applyAlignment="1">
      <alignment horizontal="center"/>
    </xf>
    <xf numFmtId="17" fontId="0" fillId="6" borderId="6" xfId="0" applyNumberFormat="1" applyFill="1" applyBorder="1" applyAlignment="1">
      <alignment horizontal="center"/>
    </xf>
    <xf numFmtId="169" fontId="0" fillId="6" borderId="32" xfId="0" applyNumberFormat="1" applyFill="1" applyBorder="1" applyAlignment="1">
      <alignment vertical="center"/>
    </xf>
    <xf numFmtId="166" fontId="0" fillId="0" borderId="32" xfId="0" applyNumberFormat="1" applyBorder="1" applyAlignment="1">
      <alignment vertical="center"/>
    </xf>
    <xf numFmtId="0" fontId="0" fillId="7" borderId="53" xfId="0" applyFill="1" applyBorder="1"/>
    <xf numFmtId="0" fontId="0" fillId="7" borderId="54" xfId="0" applyFill="1" applyBorder="1"/>
    <xf numFmtId="0" fontId="0" fillId="7" borderId="54" xfId="0" applyFill="1" applyBorder="1" applyAlignment="1">
      <alignment horizontal="center" vertical="center" wrapText="1"/>
    </xf>
    <xf numFmtId="0" fontId="2" fillId="7" borderId="54" xfId="0" applyFont="1" applyFill="1" applyBorder="1" applyAlignment="1">
      <alignment horizontal="center" vertical="center" wrapText="1"/>
    </xf>
    <xf numFmtId="0" fontId="0" fillId="7" borderId="55" xfId="0" applyFill="1" applyBorder="1"/>
    <xf numFmtId="0" fontId="12" fillId="7" borderId="56" xfId="0" applyFont="1" applyFill="1" applyBorder="1"/>
    <xf numFmtId="0" fontId="0" fillId="7" borderId="0" xfId="0" applyFill="1" applyBorder="1"/>
    <xf numFmtId="0" fontId="2" fillId="7" borderId="0" xfId="0" applyFont="1" applyFill="1" applyBorder="1"/>
    <xf numFmtId="0" fontId="0" fillId="7" borderId="56" xfId="0" applyFill="1" applyBorder="1"/>
    <xf numFmtId="12" fontId="0" fillId="7" borderId="0" xfId="0" applyNumberForma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168" fontId="0" fillId="7" borderId="0" xfId="2" applyNumberFormat="1" applyFont="1" applyFill="1" applyBorder="1"/>
    <xf numFmtId="169" fontId="0" fillId="7" borderId="0" xfId="0" applyNumberFormat="1" applyFill="1" applyBorder="1"/>
    <xf numFmtId="169" fontId="0" fillId="7" borderId="18" xfId="0" applyNumberFormat="1" applyFill="1" applyBorder="1"/>
    <xf numFmtId="168" fontId="0" fillId="7" borderId="51" xfId="2" applyNumberFormat="1" applyFont="1" applyFill="1" applyBorder="1"/>
    <xf numFmtId="169" fontId="0" fillId="7" borderId="51" xfId="0" applyNumberFormat="1" applyFill="1" applyBorder="1"/>
    <xf numFmtId="169" fontId="0" fillId="7" borderId="57" xfId="0" applyNumberFormat="1" applyFill="1" applyBorder="1"/>
    <xf numFmtId="169" fontId="12" fillId="7" borderId="0" xfId="0" applyNumberFormat="1" applyFont="1" applyFill="1" applyBorder="1"/>
    <xf numFmtId="169" fontId="12" fillId="7" borderId="18" xfId="0" applyNumberFormat="1" applyFont="1" applyFill="1" applyBorder="1"/>
    <xf numFmtId="0" fontId="0" fillId="7" borderId="58" xfId="0" applyFill="1" applyBorder="1"/>
    <xf numFmtId="0" fontId="0" fillId="7" borderId="59" xfId="0" applyFill="1" applyBorder="1"/>
    <xf numFmtId="0" fontId="2" fillId="7" borderId="59" xfId="0" applyFont="1" applyFill="1" applyBorder="1" applyAlignment="1">
      <alignment horizontal="left"/>
    </xf>
    <xf numFmtId="169" fontId="0" fillId="7" borderId="59" xfId="0" applyNumberFormat="1" applyFill="1" applyBorder="1"/>
    <xf numFmtId="0" fontId="0" fillId="7" borderId="60" xfId="0" applyFill="1" applyBorder="1"/>
    <xf numFmtId="0" fontId="0" fillId="8" borderId="53" xfId="0" applyFill="1" applyBorder="1"/>
    <xf numFmtId="0" fontId="0" fillId="8" borderId="54" xfId="0" applyFill="1" applyBorder="1"/>
    <xf numFmtId="0" fontId="0" fillId="8" borderId="54" xfId="0" applyFill="1" applyBorder="1" applyAlignment="1">
      <alignment horizontal="center" vertical="center" wrapText="1"/>
    </xf>
    <xf numFmtId="0" fontId="2" fillId="8" borderId="54" xfId="0" applyFont="1" applyFill="1" applyBorder="1" applyAlignment="1">
      <alignment horizontal="center" vertical="center" wrapText="1"/>
    </xf>
    <xf numFmtId="0" fontId="0" fillId="8" borderId="55" xfId="0" applyFill="1" applyBorder="1"/>
    <xf numFmtId="0" fontId="12" fillId="8" borderId="56" xfId="0" applyFont="1" applyFill="1" applyBorder="1"/>
    <xf numFmtId="0" fontId="0" fillId="8" borderId="0" xfId="0" applyFill="1" applyBorder="1"/>
    <xf numFmtId="0" fontId="0" fillId="8" borderId="56" xfId="0" applyFill="1" applyBorder="1"/>
    <xf numFmtId="12" fontId="0" fillId="8" borderId="0" xfId="0" applyNumberForma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164" fontId="0" fillId="8" borderId="0" xfId="2" applyFont="1" applyFill="1" applyBorder="1"/>
    <xf numFmtId="169" fontId="0" fillId="8" borderId="0" xfId="0" applyNumberFormat="1" applyFill="1" applyBorder="1"/>
    <xf numFmtId="169" fontId="0" fillId="8" borderId="18" xfId="0" applyNumberFormat="1" applyFill="1" applyBorder="1"/>
    <xf numFmtId="164" fontId="0" fillId="8" borderId="51" xfId="2" applyFont="1" applyFill="1" applyBorder="1"/>
    <xf numFmtId="169" fontId="0" fillId="8" borderId="51" xfId="0" applyNumberFormat="1" applyFill="1" applyBorder="1"/>
    <xf numFmtId="169" fontId="0" fillId="8" borderId="57" xfId="0" applyNumberFormat="1" applyFill="1" applyBorder="1"/>
    <xf numFmtId="169" fontId="12" fillId="8" borderId="0" xfId="0" applyNumberFormat="1" applyFont="1" applyFill="1" applyBorder="1"/>
    <xf numFmtId="169" fontId="12" fillId="8" borderId="18" xfId="0" applyNumberFormat="1" applyFont="1" applyFill="1" applyBorder="1"/>
    <xf numFmtId="0" fontId="0" fillId="8" borderId="58" xfId="0" applyFill="1" applyBorder="1"/>
    <xf numFmtId="0" fontId="0" fillId="8" borderId="59" xfId="0" applyFill="1" applyBorder="1"/>
    <xf numFmtId="0" fontId="2" fillId="8" borderId="59" xfId="0" applyFont="1" applyFill="1" applyBorder="1" applyAlignment="1">
      <alignment horizontal="left"/>
    </xf>
    <xf numFmtId="169" fontId="0" fillId="8" borderId="59" xfId="0" applyNumberFormat="1" applyFill="1" applyBorder="1"/>
    <xf numFmtId="0" fontId="0" fillId="8" borderId="60" xfId="0" applyFill="1" applyBorder="1"/>
    <xf numFmtId="0" fontId="2" fillId="0" borderId="0" xfId="0" applyFont="1" applyFill="1" applyBorder="1" applyAlignment="1">
      <alignment horizontal="left"/>
    </xf>
    <xf numFmtId="169" fontId="0" fillId="0" borderId="0" xfId="0" applyNumberFormat="1" applyFill="1" applyBorder="1"/>
    <xf numFmtId="0" fontId="2" fillId="7" borderId="55" xfId="0" applyFont="1" applyFill="1" applyBorder="1" applyAlignment="1">
      <alignment horizontal="center" vertical="center" wrapText="1"/>
    </xf>
    <xf numFmtId="0" fontId="0" fillId="7" borderId="18" xfId="0" applyFill="1" applyBorder="1"/>
    <xf numFmtId="10" fontId="0" fillId="7" borderId="0" xfId="0" applyNumberFormat="1" applyFill="1" applyBorder="1"/>
    <xf numFmtId="10" fontId="0" fillId="7" borderId="18" xfId="0" applyNumberFormat="1" applyFill="1" applyBorder="1"/>
    <xf numFmtId="170" fontId="0" fillId="7" borderId="0" xfId="0" applyNumberFormat="1" applyFill="1" applyBorder="1"/>
    <xf numFmtId="166" fontId="0" fillId="7" borderId="0" xfId="0" applyNumberFormat="1" applyFill="1" applyBorder="1"/>
    <xf numFmtId="166" fontId="0" fillId="7" borderId="18" xfId="0" applyNumberFormat="1" applyFill="1" applyBorder="1"/>
    <xf numFmtId="0" fontId="2" fillId="7" borderId="0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0" fillId="7" borderId="0" xfId="0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17" fontId="2" fillId="7" borderId="0" xfId="0" applyNumberFormat="1" applyFont="1" applyFill="1" applyBorder="1" applyAlignment="1">
      <alignment horizontal="center"/>
    </xf>
    <xf numFmtId="0" fontId="12" fillId="7" borderId="0" xfId="0" applyFont="1" applyFill="1" applyBorder="1"/>
    <xf numFmtId="167" fontId="0" fillId="7" borderId="0" xfId="0" applyNumberFormat="1" applyFill="1" applyBorder="1"/>
    <xf numFmtId="0" fontId="12" fillId="0" borderId="0" xfId="0" applyFont="1" applyAlignment="1">
      <alignment horizontal="right"/>
    </xf>
    <xf numFmtId="10" fontId="0" fillId="6" borderId="32" xfId="1" applyNumberFormat="1" applyFont="1" applyFill="1" applyBorder="1" applyAlignment="1">
      <alignment vertical="center"/>
    </xf>
    <xf numFmtId="10" fontId="0" fillId="0" borderId="32" xfId="1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4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6" fontId="0" fillId="0" borderId="0" xfId="0" applyNumberFormat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0" fontId="0" fillId="0" borderId="0" xfId="2" applyNumberFormat="1" applyFont="1"/>
    <xf numFmtId="169" fontId="0" fillId="0" borderId="0" xfId="2" applyNumberFormat="1" applyFont="1"/>
    <xf numFmtId="0" fontId="2" fillId="0" borderId="51" xfId="0" applyFont="1" applyBorder="1" applyAlignment="1">
      <alignment horizontal="right"/>
    </xf>
    <xf numFmtId="169" fontId="0" fillId="0" borderId="51" xfId="2" applyNumberFormat="1" applyFont="1" applyBorder="1"/>
    <xf numFmtId="166" fontId="0" fillId="0" borderId="51" xfId="0" applyNumberFormat="1" applyBorder="1"/>
    <xf numFmtId="0" fontId="0" fillId="0" borderId="51" xfId="0" applyBorder="1" applyAlignment="1">
      <alignment horizontal="right"/>
    </xf>
    <xf numFmtId="17" fontId="0" fillId="0" borderId="51" xfId="0" applyNumberFormat="1" applyBorder="1"/>
    <xf numFmtId="0" fontId="0" fillId="0" borderId="51" xfId="0" applyBorder="1"/>
    <xf numFmtId="0" fontId="2" fillId="0" borderId="0" xfId="0" applyFont="1" applyFill="1" applyBorder="1" applyAlignment="1">
      <alignment horizontal="right"/>
    </xf>
    <xf numFmtId="166" fontId="0" fillId="0" borderId="46" xfId="0" applyNumberFormat="1" applyBorder="1"/>
    <xf numFmtId="0" fontId="12" fillId="0" borderId="46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6" fontId="0" fillId="0" borderId="0" xfId="0" applyNumberFormat="1" applyBorder="1"/>
    <xf numFmtId="169" fontId="4" fillId="0" borderId="6" xfId="2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0" borderId="0" xfId="2" applyFont="1" applyFill="1" applyBorder="1" applyAlignment="1">
      <alignment horizontal="center" vertical="center" wrapText="1"/>
    </xf>
    <xf numFmtId="164" fontId="3" fillId="0" borderId="0" xfId="2" applyFont="1" applyFill="1" applyBorder="1" applyAlignment="1">
      <alignment horizontal="center" vertical="center" wrapText="1"/>
    </xf>
    <xf numFmtId="169" fontId="0" fillId="0" borderId="0" xfId="0" applyNumberFormat="1"/>
    <xf numFmtId="10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vertical="center" wrapText="1"/>
    </xf>
    <xf numFmtId="9" fontId="4" fillId="0" borderId="0" xfId="1" applyFont="1" applyFill="1" applyBorder="1" applyAlignment="1">
      <alignment vertical="center" wrapText="1"/>
    </xf>
    <xf numFmtId="164" fontId="0" fillId="0" borderId="0" xfId="2" applyFont="1"/>
    <xf numFmtId="164" fontId="2" fillId="0" borderId="0" xfId="2" applyFont="1"/>
    <xf numFmtId="0" fontId="0" fillId="0" borderId="0" xfId="0" applyBorder="1" applyAlignment="1">
      <alignment vertical="center"/>
    </xf>
    <xf numFmtId="0" fontId="12" fillId="7" borderId="0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170" fontId="0" fillId="7" borderId="18" xfId="0" applyNumberFormat="1" applyFill="1" applyBorder="1"/>
    <xf numFmtId="0" fontId="2" fillId="7" borderId="59" xfId="0" applyFont="1" applyFill="1" applyBorder="1"/>
    <xf numFmtId="2" fontId="0" fillId="0" borderId="0" xfId="0" applyNumberFormat="1"/>
    <xf numFmtId="0" fontId="3" fillId="0" borderId="6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/>
    </xf>
    <xf numFmtId="17" fontId="12" fillId="7" borderId="0" xfId="0" applyNumberFormat="1" applyFont="1" applyFill="1" applyBorder="1" applyAlignment="1">
      <alignment horizontal="center" vertical="center"/>
    </xf>
    <xf numFmtId="17" fontId="12" fillId="7" borderId="18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17" fontId="12" fillId="8" borderId="0" xfId="0" applyNumberFormat="1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2" fillId="9" borderId="0" xfId="0" applyFont="1" applyFill="1" applyBorder="1" applyAlignment="1">
      <alignment horizontal="right"/>
    </xf>
    <xf numFmtId="9" fontId="4" fillId="10" borderId="6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4" fillId="0" borderId="40" xfId="1" applyFont="1" applyFill="1" applyBorder="1" applyAlignment="1">
      <alignment horizontal="center" vertical="center" wrapText="1"/>
    </xf>
    <xf numFmtId="9" fontId="4" fillId="0" borderId="46" xfId="1" applyFont="1" applyFill="1" applyBorder="1" applyAlignment="1">
      <alignment horizontal="center" vertical="center" wrapText="1"/>
    </xf>
    <xf numFmtId="9" fontId="4" fillId="0" borderId="12" xfId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2" fillId="7" borderId="53" xfId="0" applyFont="1" applyFill="1" applyBorder="1" applyAlignment="1">
      <alignment horizontal="center" wrapText="1"/>
    </xf>
    <xf numFmtId="0" fontId="12" fillId="7" borderId="54" xfId="0" applyFont="1" applyFill="1" applyBorder="1" applyAlignment="1">
      <alignment horizontal="center" wrapText="1"/>
    </xf>
    <xf numFmtId="0" fontId="12" fillId="7" borderId="56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 wrapText="1"/>
    </xf>
    <xf numFmtId="0" fontId="2" fillId="6" borderId="48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0" fillId="9" borderId="40" xfId="0" applyFill="1" applyBorder="1" applyAlignment="1">
      <alignment horizontal="center" vertical="center" wrapText="1"/>
    </xf>
    <xf numFmtId="0" fontId="0" fillId="9" borderId="4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7" fillId="9" borderId="0" xfId="0" applyFont="1" applyFill="1" applyAlignment="1">
      <alignment horizontal="center"/>
    </xf>
    <xf numFmtId="0" fontId="17" fillId="9" borderId="0" xfId="0" applyFont="1" applyFill="1"/>
    <xf numFmtId="0" fontId="0" fillId="9" borderId="0" xfId="0" applyFill="1"/>
    <xf numFmtId="0" fontId="17" fillId="9" borderId="0" xfId="0" applyFont="1" applyFill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42</xdr:row>
      <xdr:rowOff>0</xdr:rowOff>
    </xdr:from>
    <xdr:to>
      <xdr:col>6</xdr:col>
      <xdr:colOff>647700</xdr:colOff>
      <xdr:row>50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917" y="9567333"/>
          <a:ext cx="7304616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323849</xdr:colOff>
      <xdr:row>12</xdr:row>
      <xdr:rowOff>61912</xdr:rowOff>
    </xdr:from>
    <xdr:ext cx="1933575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3809999" y="2728912"/>
              <a:ext cx="19335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AR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𝑎𝑖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 (</m:t>
                        </m:r>
                        <m:f>
                          <m:fPr>
                            <m:ctrlPr>
                              <a:rPr lang="es-AR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𝑘𝑖</m:t>
                            </m:r>
                          </m:num>
                          <m:den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den>
                        </m:f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))/ </m:t>
                        </m:r>
                      </m:e>
                    </m:nary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AR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𝑎𝑖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)</m:t>
                        </m:r>
                      </m:e>
                    </m:nary>
                  </m:oMath>
                </m:oMathPara>
              </a14:m>
              <a:endParaRPr lang="es-AR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3809999" y="2728912"/>
              <a:ext cx="19335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AR" sz="1100" i="0">
                  <a:latin typeface="Cambria Math" panose="02040503050406030204" pitchFamily="18" charset="0"/>
                </a:rPr>
                <a:t>∑</a:t>
              </a:r>
              <a:r>
                <a:rPr lang="es-AR" sz="1100" b="0" i="0">
                  <a:latin typeface="Cambria Math" panose="02040503050406030204" pitchFamily="18" charset="0"/>
                </a:rPr>
                <a:t>▒〖(𝑎𝑖 𝑥 (𝑘𝑖/𝑘0))/ 〗 </a:t>
              </a:r>
              <a:r>
                <a:rPr lang="es-AR" sz="1100" i="0">
                  <a:latin typeface="Cambria Math" panose="02040503050406030204" pitchFamily="18" charset="0"/>
                </a:rPr>
                <a:t>∑</a:t>
              </a:r>
              <a:r>
                <a:rPr lang="es-AR" sz="1100" b="0" i="0">
                  <a:latin typeface="Cambria Math" panose="02040503050406030204" pitchFamily="18" charset="0"/>
                </a:rPr>
                <a:t>▒〖(𝑎𝑖)〗</a:t>
              </a:r>
              <a:endParaRPr lang="es-AR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65</xdr:row>
      <xdr:rowOff>0</xdr:rowOff>
    </xdr:from>
    <xdr:to>
      <xdr:col>7</xdr:col>
      <xdr:colOff>426156</xdr:colOff>
      <xdr:row>85</xdr:row>
      <xdr:rowOff>154781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531" y="13692188"/>
          <a:ext cx="7855656" cy="3488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25</xdr:row>
      <xdr:rowOff>9525</xdr:rowOff>
    </xdr:from>
    <xdr:to>
      <xdr:col>9</xdr:col>
      <xdr:colOff>676275</xdr:colOff>
      <xdr:row>37</xdr:row>
      <xdr:rowOff>114300</xdr:rowOff>
    </xdr:to>
    <xdr:grpSp>
      <xdr:nvGrpSpPr>
        <xdr:cNvPr id="7" name="Grupo 6"/>
        <xdr:cNvGrpSpPr/>
      </xdr:nvGrpSpPr>
      <xdr:grpSpPr>
        <a:xfrm>
          <a:off x="76200" y="4212431"/>
          <a:ext cx="8315325" cy="2105025"/>
          <a:chOff x="5334000" y="323850"/>
          <a:chExt cx="7458075" cy="2047875"/>
        </a:xfrm>
      </xdr:grpSpPr>
      <xdr:pic>
        <xdr:nvPicPr>
          <xdr:cNvPr id="2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4000" y="323850"/>
            <a:ext cx="7458075" cy="5429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4000" y="838200"/>
            <a:ext cx="7419975" cy="15335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0</xdr:colOff>
      <xdr:row>45</xdr:row>
      <xdr:rowOff>0</xdr:rowOff>
    </xdr:from>
    <xdr:to>
      <xdr:col>8</xdr:col>
      <xdr:colOff>428625</xdr:colOff>
      <xdr:row>54</xdr:row>
      <xdr:rowOff>95250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"/>
          <a:ext cx="7381875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50"/>
  <sheetViews>
    <sheetView showGridLines="0" tabSelected="1" zoomScale="90" zoomScaleNormal="90" workbookViewId="0">
      <selection activeCell="B1" sqref="B1:H1"/>
    </sheetView>
  </sheetViews>
  <sheetFormatPr baseColWidth="10" defaultRowHeight="12.75" x14ac:dyDescent="0.2"/>
  <cols>
    <col min="2" max="2" width="6.5703125" customWidth="1"/>
    <col min="3" max="3" width="65" customWidth="1"/>
    <col min="4" max="4" width="12.42578125" customWidth="1"/>
    <col min="5" max="5" width="11" customWidth="1"/>
    <col min="11" max="11" width="14.5703125" bestFit="1" customWidth="1"/>
    <col min="12" max="12" width="52" customWidth="1"/>
    <col min="14" max="14" width="7.140625" style="63" customWidth="1"/>
    <col min="15" max="15" width="62" customWidth="1"/>
    <col min="16" max="16" width="11.42578125" style="63"/>
  </cols>
  <sheetData>
    <row r="1" spans="2:15" ht="18" x14ac:dyDescent="0.25">
      <c r="B1" s="338" t="s">
        <v>122</v>
      </c>
      <c r="C1" s="338"/>
      <c r="D1" s="338"/>
      <c r="E1" s="338"/>
      <c r="F1" s="338"/>
      <c r="G1" s="338"/>
      <c r="H1" s="338"/>
    </row>
    <row r="2" spans="2:15" ht="13.5" thickBot="1" x14ac:dyDescent="0.25"/>
    <row r="3" spans="2:15" ht="42.75" x14ac:dyDescent="0.2">
      <c r="B3" s="10" t="s">
        <v>15</v>
      </c>
      <c r="C3" s="24" t="s">
        <v>10</v>
      </c>
      <c r="D3" s="24" t="s">
        <v>14</v>
      </c>
      <c r="E3" s="24" t="s">
        <v>7</v>
      </c>
      <c r="F3" s="11" t="s">
        <v>9</v>
      </c>
      <c r="G3" s="11" t="s">
        <v>11</v>
      </c>
      <c r="H3" s="55" t="s">
        <v>12</v>
      </c>
      <c r="I3" s="22"/>
      <c r="J3" s="22"/>
      <c r="K3" s="22"/>
      <c r="L3" s="22"/>
      <c r="M3" s="22"/>
    </row>
    <row r="4" spans="2:15" ht="7.5" customHeight="1" x14ac:dyDescent="0.2">
      <c r="B4" s="49"/>
      <c r="C4" s="23"/>
      <c r="D4" s="23"/>
      <c r="E4" s="23"/>
      <c r="F4" s="13"/>
      <c r="G4" s="13"/>
      <c r="H4" s="39"/>
      <c r="I4" s="15"/>
      <c r="J4" s="15"/>
      <c r="K4" s="15"/>
      <c r="L4" s="16"/>
      <c r="M4" s="16"/>
    </row>
    <row r="5" spans="2:15" ht="18.75" customHeight="1" x14ac:dyDescent="0.2">
      <c r="B5" s="49">
        <v>1</v>
      </c>
      <c r="C5" s="25" t="s">
        <v>6</v>
      </c>
      <c r="D5" s="84"/>
      <c r="E5" s="84"/>
      <c r="F5" s="37">
        <v>70</v>
      </c>
      <c r="G5" s="45">
        <f t="shared" ref="G5:G11" si="0">+F5/$F$12</f>
        <v>0.5</v>
      </c>
      <c r="H5" s="40">
        <f t="shared" ref="H5:H16" si="1">+F5/$F$16</f>
        <v>0.46232085067036527</v>
      </c>
      <c r="I5" s="17"/>
      <c r="J5" s="17"/>
      <c r="K5" s="17"/>
      <c r="L5" s="18"/>
      <c r="M5" s="18"/>
    </row>
    <row r="6" spans="2:15" ht="18.75" customHeight="1" x14ac:dyDescent="0.2">
      <c r="B6" s="49">
        <v>2</v>
      </c>
      <c r="C6" s="25" t="s">
        <v>144</v>
      </c>
      <c r="D6" s="84"/>
      <c r="E6" s="84"/>
      <c r="F6" s="37">
        <v>6</v>
      </c>
      <c r="G6" s="45">
        <f t="shared" si="0"/>
        <v>4.2857142857142858E-2</v>
      </c>
      <c r="H6" s="40">
        <f t="shared" si="1"/>
        <v>3.9627501486031308E-2</v>
      </c>
      <c r="I6" s="17"/>
      <c r="J6" s="17"/>
      <c r="K6" s="17"/>
      <c r="L6" s="18"/>
      <c r="M6" s="18"/>
    </row>
    <row r="7" spans="2:15" ht="18.75" customHeight="1" x14ac:dyDescent="0.2">
      <c r="B7" s="49">
        <v>3</v>
      </c>
      <c r="C7" s="26" t="s">
        <v>4</v>
      </c>
      <c r="D7" s="85"/>
      <c r="E7" s="85"/>
      <c r="F7" s="37">
        <v>7</v>
      </c>
      <c r="G7" s="45">
        <f t="shared" si="0"/>
        <v>0.05</v>
      </c>
      <c r="H7" s="40">
        <f t="shared" si="1"/>
        <v>4.6232085067036521E-2</v>
      </c>
      <c r="I7" s="17"/>
      <c r="J7" s="17"/>
      <c r="K7" s="17"/>
      <c r="L7" s="18"/>
      <c r="M7" s="18"/>
    </row>
    <row r="8" spans="2:15" ht="18.75" customHeight="1" x14ac:dyDescent="0.2">
      <c r="B8" s="49">
        <v>4</v>
      </c>
      <c r="C8" s="25" t="s">
        <v>3</v>
      </c>
      <c r="D8" s="84"/>
      <c r="E8" s="84"/>
      <c r="F8" s="37">
        <v>4</v>
      </c>
      <c r="G8" s="45">
        <f t="shared" si="0"/>
        <v>2.8571428571428571E-2</v>
      </c>
      <c r="H8" s="40">
        <f t="shared" si="1"/>
        <v>2.6418334324020871E-2</v>
      </c>
      <c r="I8" s="17"/>
      <c r="J8" s="17"/>
      <c r="K8" s="17"/>
      <c r="L8" s="17"/>
      <c r="M8" s="18"/>
    </row>
    <row r="9" spans="2:15" ht="18.75" customHeight="1" x14ac:dyDescent="0.2">
      <c r="B9" s="49">
        <v>5</v>
      </c>
      <c r="C9" s="25" t="s">
        <v>2</v>
      </c>
      <c r="D9" s="84"/>
      <c r="E9" s="84"/>
      <c r="F9" s="37">
        <v>1</v>
      </c>
      <c r="G9" s="45">
        <f t="shared" ref="G9" si="2">+F9/$F$12</f>
        <v>7.1428571428571426E-3</v>
      </c>
      <c r="H9" s="40">
        <f t="shared" si="1"/>
        <v>6.6045835810052177E-3</v>
      </c>
      <c r="I9" s="17"/>
      <c r="J9" s="17"/>
      <c r="K9" s="17"/>
      <c r="L9" s="18"/>
      <c r="M9" s="17"/>
    </row>
    <row r="10" spans="2:15" ht="18.75" customHeight="1" x14ac:dyDescent="0.2">
      <c r="B10" s="49">
        <v>6</v>
      </c>
      <c r="C10" s="25" t="s">
        <v>37</v>
      </c>
      <c r="D10" s="84"/>
      <c r="E10" s="84"/>
      <c r="F10" s="37">
        <v>2</v>
      </c>
      <c r="G10" s="45">
        <f t="shared" si="0"/>
        <v>1.4285714285714285E-2</v>
      </c>
      <c r="H10" s="40">
        <f t="shared" si="1"/>
        <v>1.3209167162010435E-2</v>
      </c>
      <c r="I10" s="17"/>
      <c r="J10" s="17"/>
      <c r="K10" s="17"/>
      <c r="L10" s="18"/>
      <c r="M10" s="17"/>
    </row>
    <row r="11" spans="2:15" ht="18.75" customHeight="1" thickBot="1" x14ac:dyDescent="0.25">
      <c r="B11" s="49">
        <v>7</v>
      </c>
      <c r="C11" s="27" t="s">
        <v>0</v>
      </c>
      <c r="D11" s="86"/>
      <c r="E11" s="86"/>
      <c r="F11" s="38">
        <v>50</v>
      </c>
      <c r="G11" s="83">
        <f t="shared" si="0"/>
        <v>0.35714285714285715</v>
      </c>
      <c r="H11" s="41">
        <f t="shared" si="1"/>
        <v>0.33022917905026089</v>
      </c>
      <c r="I11" s="17"/>
      <c r="J11" s="17"/>
      <c r="K11" s="17"/>
      <c r="L11" s="18"/>
      <c r="M11" s="18"/>
    </row>
    <row r="12" spans="2:15" ht="18.75" customHeight="1" thickBot="1" x14ac:dyDescent="0.25">
      <c r="B12" s="49">
        <v>8</v>
      </c>
      <c r="C12" s="28" t="s">
        <v>13</v>
      </c>
      <c r="D12" s="31" t="s">
        <v>96</v>
      </c>
      <c r="E12" s="35"/>
      <c r="F12" s="33">
        <f>SUM(F3:F11)</f>
        <v>140</v>
      </c>
      <c r="G12" s="46">
        <f>SUM(G5:G11)</f>
        <v>1</v>
      </c>
      <c r="H12" s="42">
        <f t="shared" si="1"/>
        <v>0.92464170134073054</v>
      </c>
      <c r="I12" s="19"/>
      <c r="J12" s="19"/>
      <c r="K12" s="19"/>
      <c r="L12" s="19"/>
      <c r="M12" s="19"/>
    </row>
    <row r="13" spans="2:15" ht="18.75" customHeight="1" thickBot="1" x14ac:dyDescent="0.25">
      <c r="B13" s="49">
        <v>9</v>
      </c>
      <c r="C13" s="29" t="s">
        <v>145</v>
      </c>
      <c r="D13" s="32" t="s">
        <v>130</v>
      </c>
      <c r="E13" s="34">
        <v>0.05</v>
      </c>
      <c r="F13" s="30">
        <f>+E13*F12</f>
        <v>7</v>
      </c>
      <c r="G13" s="88"/>
      <c r="H13" s="43">
        <f t="shared" si="1"/>
        <v>4.6232085067036521E-2</v>
      </c>
      <c r="I13" s="17"/>
      <c r="J13" s="17"/>
      <c r="K13" s="17"/>
      <c r="L13" s="18"/>
      <c r="M13" s="18"/>
    </row>
    <row r="14" spans="2:15" ht="18.75" customHeight="1" thickBot="1" x14ac:dyDescent="0.25">
      <c r="B14" s="49">
        <v>10</v>
      </c>
      <c r="C14" s="28" t="s">
        <v>38</v>
      </c>
      <c r="D14" s="31" t="s">
        <v>43</v>
      </c>
      <c r="E14" s="31"/>
      <c r="F14" s="33">
        <f>+F12+F13</f>
        <v>147</v>
      </c>
      <c r="G14" s="46"/>
      <c r="H14" s="42">
        <f t="shared" si="1"/>
        <v>0.970873786407767</v>
      </c>
      <c r="I14" s="19"/>
      <c r="J14" s="19"/>
      <c r="K14" s="19"/>
      <c r="L14" s="19"/>
      <c r="M14" s="19"/>
    </row>
    <row r="15" spans="2:15" ht="18.75" customHeight="1" thickBot="1" x14ac:dyDescent="0.25">
      <c r="B15" s="49">
        <v>11</v>
      </c>
      <c r="C15" s="29" t="s">
        <v>1</v>
      </c>
      <c r="D15" s="23" t="s">
        <v>131</v>
      </c>
      <c r="E15" s="36">
        <v>0.03</v>
      </c>
      <c r="F15" s="48">
        <f>+E15*F14</f>
        <v>4.41</v>
      </c>
      <c r="G15" s="87"/>
      <c r="H15" s="40">
        <f t="shared" si="1"/>
        <v>2.9126213592233011E-2</v>
      </c>
      <c r="I15" s="17"/>
      <c r="J15" s="17"/>
      <c r="K15" s="17"/>
      <c r="L15" s="18"/>
      <c r="M15" s="18"/>
    </row>
    <row r="16" spans="2:15" ht="18.75" customHeight="1" thickBot="1" x14ac:dyDescent="0.25">
      <c r="B16" s="50">
        <v>12</v>
      </c>
      <c r="C16" s="28" t="s">
        <v>146</v>
      </c>
      <c r="D16" s="31" t="s">
        <v>44</v>
      </c>
      <c r="E16" s="28"/>
      <c r="F16" s="33">
        <f>+F14+F15</f>
        <v>151.41</v>
      </c>
      <c r="G16" s="47"/>
      <c r="H16" s="44">
        <f t="shared" si="1"/>
        <v>1</v>
      </c>
      <c r="I16" s="20"/>
      <c r="J16" s="20"/>
      <c r="K16" s="20"/>
      <c r="L16" s="20"/>
      <c r="M16" s="20"/>
      <c r="O16" s="9">
        <f>SUM(I16:M16)</f>
        <v>0</v>
      </c>
    </row>
    <row r="18" spans="2:17" x14ac:dyDescent="0.2">
      <c r="C18" s="21" t="s">
        <v>127</v>
      </c>
    </row>
    <row r="19" spans="2:17" x14ac:dyDescent="0.2">
      <c r="C19" s="21" t="s">
        <v>128</v>
      </c>
    </row>
    <row r="20" spans="2:17" x14ac:dyDescent="0.2">
      <c r="C20" s="21" t="s">
        <v>129</v>
      </c>
    </row>
    <row r="22" spans="2:17" ht="15.75" x14ac:dyDescent="0.25">
      <c r="C22" s="89" t="s">
        <v>117</v>
      </c>
    </row>
    <row r="23" spans="2:17" ht="13.5" thickBot="1" x14ac:dyDescent="0.25"/>
    <row r="24" spans="2:17" ht="14.25" customHeight="1" thickBot="1" x14ac:dyDescent="0.25">
      <c r="B24" s="10" t="s">
        <v>15</v>
      </c>
      <c r="C24" s="10" t="s">
        <v>10</v>
      </c>
      <c r="D24" s="280" t="s">
        <v>8</v>
      </c>
      <c r="E24" s="281"/>
      <c r="F24" s="281"/>
      <c r="G24" s="281"/>
      <c r="H24" s="281"/>
      <c r="I24" s="282"/>
    </row>
    <row r="25" spans="2:17" ht="42" x14ac:dyDescent="0.2">
      <c r="B25" s="56"/>
      <c r="C25" s="277"/>
      <c r="D25" s="91" t="s">
        <v>132</v>
      </c>
      <c r="E25" s="92" t="s">
        <v>133</v>
      </c>
      <c r="F25" s="92" t="s">
        <v>134</v>
      </c>
      <c r="G25" s="92" t="s">
        <v>135</v>
      </c>
      <c r="H25" s="92" t="s">
        <v>136</v>
      </c>
      <c r="I25" s="93" t="s">
        <v>137</v>
      </c>
      <c r="N25"/>
      <c r="O25" s="63"/>
      <c r="P25"/>
      <c r="Q25" s="63"/>
    </row>
    <row r="26" spans="2:17" ht="14.25" x14ac:dyDescent="0.2">
      <c r="B26" s="57"/>
      <c r="C26" s="277"/>
      <c r="D26" s="90" t="s">
        <v>7</v>
      </c>
      <c r="E26" s="13" t="s">
        <v>7</v>
      </c>
      <c r="F26" s="13" t="s">
        <v>7</v>
      </c>
      <c r="G26" s="13" t="s">
        <v>7</v>
      </c>
      <c r="H26" s="13" t="s">
        <v>7</v>
      </c>
      <c r="I26" s="14" t="s">
        <v>7</v>
      </c>
      <c r="N26"/>
      <c r="O26" s="63"/>
      <c r="P26"/>
      <c r="Q26" s="63"/>
    </row>
    <row r="27" spans="2:17" ht="22.5" customHeight="1" x14ac:dyDescent="0.2">
      <c r="B27" s="56">
        <v>1</v>
      </c>
      <c r="C27" s="4" t="s">
        <v>6</v>
      </c>
      <c r="D27" s="3">
        <v>0.8</v>
      </c>
      <c r="E27" s="2">
        <v>0.2</v>
      </c>
      <c r="F27" s="2"/>
      <c r="G27" s="276"/>
      <c r="H27" s="2"/>
      <c r="I27" s="1"/>
      <c r="N27"/>
      <c r="O27" s="63"/>
      <c r="P27"/>
      <c r="Q27" s="63"/>
    </row>
    <row r="28" spans="2:17" ht="22.5" customHeight="1" x14ac:dyDescent="0.2">
      <c r="B28" s="56">
        <v>2</v>
      </c>
      <c r="C28" s="4" t="s">
        <v>5</v>
      </c>
      <c r="D28" s="3">
        <v>0.2</v>
      </c>
      <c r="E28" s="2">
        <v>0.2</v>
      </c>
      <c r="F28" s="2">
        <v>0.4</v>
      </c>
      <c r="G28" s="2">
        <v>0.2</v>
      </c>
      <c r="H28" s="212"/>
      <c r="I28" s="1"/>
      <c r="N28"/>
      <c r="O28" s="63"/>
      <c r="P28"/>
      <c r="Q28" s="63"/>
    </row>
    <row r="29" spans="2:17" ht="22.5" customHeight="1" x14ac:dyDescent="0.2">
      <c r="B29" s="56">
        <v>3</v>
      </c>
      <c r="C29" s="8" t="s">
        <v>4</v>
      </c>
      <c r="D29" s="3">
        <v>0.25</v>
      </c>
      <c r="E29" s="2">
        <v>0.25</v>
      </c>
      <c r="F29" s="2">
        <v>0.4</v>
      </c>
      <c r="G29" s="2">
        <v>0.1</v>
      </c>
      <c r="H29" s="212"/>
      <c r="I29" s="1"/>
      <c r="N29"/>
      <c r="O29" s="63"/>
      <c r="P29"/>
      <c r="Q29" s="63"/>
    </row>
    <row r="30" spans="2:17" ht="22.5" customHeight="1" x14ac:dyDescent="0.2">
      <c r="B30" s="56">
        <v>4</v>
      </c>
      <c r="C30" s="4" t="s">
        <v>3</v>
      </c>
      <c r="D30" s="7"/>
      <c r="E30" s="6"/>
      <c r="F30" s="6"/>
      <c r="G30" s="6"/>
      <c r="H30" s="6"/>
      <c r="I30" s="5">
        <v>1</v>
      </c>
      <c r="N30"/>
      <c r="O30" s="63"/>
      <c r="P30"/>
      <c r="Q30" s="63"/>
    </row>
    <row r="31" spans="2:17" ht="22.5" customHeight="1" x14ac:dyDescent="0.2">
      <c r="B31" s="56">
        <v>5</v>
      </c>
      <c r="C31" s="4" t="s">
        <v>2</v>
      </c>
      <c r="D31" s="7"/>
      <c r="E31" s="6"/>
      <c r="F31" s="6"/>
      <c r="G31" s="6"/>
      <c r="H31" s="2">
        <v>1</v>
      </c>
      <c r="I31" s="1"/>
      <c r="N31"/>
      <c r="O31" s="63"/>
      <c r="P31"/>
      <c r="Q31" s="63"/>
    </row>
    <row r="32" spans="2:17" ht="22.5" customHeight="1" x14ac:dyDescent="0.2">
      <c r="B32" s="56">
        <v>6</v>
      </c>
      <c r="C32" s="4" t="s">
        <v>37</v>
      </c>
      <c r="D32" s="3"/>
      <c r="E32" s="2">
        <v>0.5</v>
      </c>
      <c r="F32" s="2">
        <v>0.5</v>
      </c>
      <c r="G32" s="2"/>
      <c r="H32" s="212"/>
      <c r="I32" s="1"/>
      <c r="N32"/>
      <c r="O32" s="63"/>
      <c r="P32"/>
      <c r="Q32" s="63"/>
    </row>
    <row r="33" spans="2:17" ht="22.5" customHeight="1" thickBot="1" x14ac:dyDescent="0.25">
      <c r="B33" s="58">
        <v>7</v>
      </c>
      <c r="C33" s="51" t="s">
        <v>0</v>
      </c>
      <c r="D33" s="52">
        <v>0.2</v>
      </c>
      <c r="E33" s="53">
        <v>0.15</v>
      </c>
      <c r="F33" s="53">
        <v>0.4</v>
      </c>
      <c r="G33" s="53">
        <v>0.25</v>
      </c>
      <c r="H33" s="94"/>
      <c r="I33" s="54"/>
      <c r="N33"/>
      <c r="O33" s="63"/>
      <c r="P33"/>
      <c r="Q33" s="63"/>
    </row>
    <row r="34" spans="2:17" ht="23.25" customHeight="1" x14ac:dyDescent="0.2"/>
    <row r="35" spans="2:17" x14ac:dyDescent="0.2">
      <c r="C35" s="336" t="s">
        <v>138</v>
      </c>
      <c r="D35" s="336"/>
      <c r="E35" s="336"/>
      <c r="F35" s="336"/>
      <c r="G35" s="336"/>
      <c r="H35" s="336"/>
      <c r="I35" s="336"/>
    </row>
    <row r="36" spans="2:17" x14ac:dyDescent="0.2">
      <c r="C36" s="278" t="s">
        <v>139</v>
      </c>
      <c r="D36" s="278"/>
      <c r="E36" s="278"/>
      <c r="F36" s="278"/>
      <c r="G36" s="278"/>
      <c r="H36" s="278"/>
      <c r="I36" s="278"/>
    </row>
    <row r="37" spans="2:17" x14ac:dyDescent="0.2">
      <c r="C37" s="337" t="s">
        <v>140</v>
      </c>
      <c r="D37" s="337"/>
      <c r="E37" s="337"/>
      <c r="F37" s="337"/>
      <c r="G37" s="337"/>
      <c r="H37" s="337"/>
      <c r="I37" s="337"/>
    </row>
    <row r="38" spans="2:17" x14ac:dyDescent="0.2">
      <c r="C38" s="337"/>
      <c r="D38" s="337"/>
      <c r="E38" s="337"/>
      <c r="F38" s="337"/>
      <c r="G38" s="337"/>
      <c r="H38" s="337"/>
      <c r="I38" s="337"/>
    </row>
    <row r="39" spans="2:17" ht="29.25" customHeight="1" x14ac:dyDescent="0.35">
      <c r="C39" s="279" t="s">
        <v>141</v>
      </c>
      <c r="D39" s="279"/>
      <c r="E39" s="279"/>
      <c r="F39" s="279"/>
      <c r="G39" s="279"/>
      <c r="H39" s="279"/>
      <c r="I39" s="279"/>
      <c r="J39" s="60"/>
      <c r="K39" s="61"/>
      <c r="L39" s="62"/>
      <c r="M39" s="61"/>
    </row>
    <row r="40" spans="2:17" ht="18" customHeight="1" x14ac:dyDescent="0.35">
      <c r="C40" s="279" t="s">
        <v>142</v>
      </c>
      <c r="D40" s="279"/>
      <c r="E40" s="279"/>
      <c r="F40" s="279"/>
      <c r="G40" s="279"/>
      <c r="H40" s="279"/>
      <c r="I40" s="279"/>
      <c r="J40" s="60"/>
      <c r="K40" s="61"/>
      <c r="L40" s="62"/>
      <c r="M40" s="61"/>
    </row>
    <row r="41" spans="2:17" ht="31.5" customHeight="1" x14ac:dyDescent="0.35">
      <c r="C41" s="279" t="s">
        <v>143</v>
      </c>
      <c r="D41" s="279"/>
      <c r="E41" s="279"/>
      <c r="F41" s="279"/>
      <c r="G41" s="279"/>
      <c r="H41" s="279"/>
      <c r="I41" s="279"/>
      <c r="J41" s="60"/>
      <c r="K41" s="61"/>
      <c r="L41" s="62"/>
      <c r="M41" s="61"/>
    </row>
    <row r="42" spans="2:17" ht="15" x14ac:dyDescent="0.2">
      <c r="M42" s="61"/>
    </row>
    <row r="43" spans="2:17" ht="15.75" x14ac:dyDescent="0.3">
      <c r="L43" s="21"/>
      <c r="M43" s="60"/>
    </row>
    <row r="44" spans="2:17" ht="14.25" customHeight="1" x14ac:dyDescent="0.2">
      <c r="L44" s="21"/>
      <c r="M44" s="21"/>
    </row>
    <row r="45" spans="2:17" x14ac:dyDescent="0.2">
      <c r="L45" s="21"/>
      <c r="M45" s="21"/>
    </row>
    <row r="46" spans="2:17" x14ac:dyDescent="0.2">
      <c r="K46" s="254"/>
      <c r="L46" s="21"/>
      <c r="M46" s="21"/>
    </row>
    <row r="47" spans="2:17" x14ac:dyDescent="0.2">
      <c r="L47" s="21"/>
      <c r="M47" s="21"/>
    </row>
    <row r="48" spans="2:17" x14ac:dyDescent="0.2">
      <c r="L48" s="255"/>
      <c r="M48" s="21"/>
    </row>
    <row r="49" spans="12:12" x14ac:dyDescent="0.2">
      <c r="L49" s="255"/>
    </row>
    <row r="50" spans="12:12" x14ac:dyDescent="0.2">
      <c r="L50" s="254"/>
    </row>
  </sheetData>
  <mergeCells count="9">
    <mergeCell ref="B1:H1"/>
    <mergeCell ref="C25:C26"/>
    <mergeCell ref="D24:I24"/>
    <mergeCell ref="C35:I35"/>
    <mergeCell ref="C36:I36"/>
    <mergeCell ref="C37:I38"/>
    <mergeCell ref="C39:I39"/>
    <mergeCell ref="C40:I40"/>
    <mergeCell ref="C41:I41"/>
  </mergeCells>
  <pageMargins left="0.7" right="0.7" top="0.75" bottom="0.75" header="0.3" footer="0.3"/>
  <pageSetup scale="40" orientation="landscape" horizontalDpi="4294967294" verticalDpi="4294967294" r:id="rId1"/>
  <headerFooter>
    <oddHeader>&amp;C&amp;"Arial,Negrita"&amp;12&amp;F</oddHeader>
    <oddFooter>&amp;C&amp;N&amp;R&amp;D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34"/>
  <sheetViews>
    <sheetView showGridLines="0" zoomScale="90" zoomScaleNormal="90" workbookViewId="0">
      <selection activeCell="B2" sqref="B2:K2"/>
    </sheetView>
  </sheetViews>
  <sheetFormatPr baseColWidth="10" defaultRowHeight="12.75" x14ac:dyDescent="0.2"/>
  <cols>
    <col min="2" max="2" width="7.7109375" style="66" customWidth="1"/>
    <col min="3" max="3" width="33.140625" style="66" customWidth="1"/>
    <col min="4" max="5" width="8.140625" style="66" customWidth="1"/>
    <col min="6" max="6" width="8.42578125" style="66" customWidth="1"/>
    <col min="7" max="9" width="8.28515625" style="66" customWidth="1"/>
    <col min="10" max="10" width="71.28515625" style="66" customWidth="1"/>
    <col min="11" max="11" width="11" style="66" customWidth="1"/>
  </cols>
  <sheetData>
    <row r="1" spans="2:15" ht="13.5" thickBot="1" x14ac:dyDescent="0.25"/>
    <row r="2" spans="2:15" ht="24.75" customHeight="1" thickBot="1" x14ac:dyDescent="0.25">
      <c r="B2" s="296" t="s">
        <v>39</v>
      </c>
      <c r="C2" s="297"/>
      <c r="D2" s="297"/>
      <c r="E2" s="297"/>
      <c r="F2" s="297"/>
      <c r="G2" s="297"/>
      <c r="H2" s="297"/>
      <c r="I2" s="297"/>
      <c r="J2" s="297"/>
      <c r="K2" s="298"/>
    </row>
    <row r="3" spans="2:15" ht="21.75" customHeight="1" thickBot="1" x14ac:dyDescent="0.25">
      <c r="B3" s="10" t="s">
        <v>15</v>
      </c>
      <c r="C3" s="10" t="s">
        <v>10</v>
      </c>
      <c r="D3" s="280" t="s">
        <v>8</v>
      </c>
      <c r="E3" s="281"/>
      <c r="F3" s="281"/>
      <c r="G3" s="281"/>
      <c r="H3" s="281"/>
      <c r="I3" s="281"/>
      <c r="J3" s="281"/>
      <c r="K3" s="282"/>
      <c r="O3" s="82"/>
    </row>
    <row r="4" spans="2:15" ht="57" customHeight="1" x14ac:dyDescent="0.2">
      <c r="B4" s="299"/>
      <c r="C4" s="301"/>
      <c r="D4" s="303" t="s">
        <v>16</v>
      </c>
      <c r="E4" s="304"/>
      <c r="F4" s="305" t="s">
        <v>27</v>
      </c>
      <c r="G4" s="306"/>
      <c r="H4" s="306"/>
      <c r="I4" s="306"/>
      <c r="J4" s="304"/>
      <c r="K4" s="12" t="s">
        <v>17</v>
      </c>
      <c r="O4" s="82"/>
    </row>
    <row r="5" spans="2:15" ht="20.25" thickBot="1" x14ac:dyDescent="0.25">
      <c r="B5" s="300"/>
      <c r="C5" s="302"/>
      <c r="D5" s="95" t="s">
        <v>18</v>
      </c>
      <c r="E5" s="67" t="s">
        <v>7</v>
      </c>
      <c r="F5" s="307"/>
      <c r="G5" s="308"/>
      <c r="H5" s="308"/>
      <c r="I5" s="308"/>
      <c r="J5" s="309"/>
      <c r="K5" s="68" t="s">
        <v>19</v>
      </c>
      <c r="N5" s="96"/>
      <c r="O5" s="82"/>
    </row>
    <row r="6" spans="2:15" ht="26.25" customHeight="1" x14ac:dyDescent="0.2">
      <c r="B6" s="69">
        <v>1</v>
      </c>
      <c r="C6" s="65" t="s">
        <v>6</v>
      </c>
      <c r="D6" s="70" t="s">
        <v>20</v>
      </c>
      <c r="E6" s="64">
        <v>0.5</v>
      </c>
      <c r="F6" s="284" t="s">
        <v>40</v>
      </c>
      <c r="G6" s="285"/>
      <c r="H6" s="285"/>
      <c r="I6" s="285"/>
      <c r="J6" s="286"/>
      <c r="K6" s="71" t="s">
        <v>24</v>
      </c>
      <c r="N6" s="17"/>
      <c r="O6" s="82"/>
    </row>
    <row r="7" spans="2:15" ht="26.25" customHeight="1" x14ac:dyDescent="0.2">
      <c r="B7" s="69">
        <v>2</v>
      </c>
      <c r="C7" s="65" t="s">
        <v>6</v>
      </c>
      <c r="D7" s="70" t="s">
        <v>21</v>
      </c>
      <c r="E7" s="59">
        <v>0.2</v>
      </c>
      <c r="F7" s="287" t="s">
        <v>41</v>
      </c>
      <c r="G7" s="288"/>
      <c r="H7" s="288"/>
      <c r="I7" s="288"/>
      <c r="J7" s="289"/>
      <c r="K7" s="72" t="s">
        <v>25</v>
      </c>
      <c r="N7" s="17"/>
      <c r="O7" s="82"/>
    </row>
    <row r="8" spans="2:15" ht="18.75" customHeight="1" x14ac:dyDescent="0.2">
      <c r="B8" s="69">
        <v>3</v>
      </c>
      <c r="C8" s="65" t="s">
        <v>36</v>
      </c>
      <c r="D8" s="70" t="s">
        <v>22</v>
      </c>
      <c r="E8" s="59">
        <v>0.2</v>
      </c>
      <c r="F8" s="290" t="s">
        <v>118</v>
      </c>
      <c r="G8" s="291"/>
      <c r="H8" s="291"/>
      <c r="I8" s="291"/>
      <c r="J8" s="292"/>
      <c r="K8" s="72" t="s">
        <v>26</v>
      </c>
      <c r="N8" s="17"/>
      <c r="O8" s="82"/>
    </row>
    <row r="9" spans="2:15" ht="33" customHeight="1" thickBot="1" x14ac:dyDescent="0.25">
      <c r="B9" s="69">
        <v>4</v>
      </c>
      <c r="C9" s="65" t="s">
        <v>3</v>
      </c>
      <c r="D9" s="70" t="s">
        <v>23</v>
      </c>
      <c r="E9" s="59">
        <v>0.1</v>
      </c>
      <c r="F9" s="293" t="s">
        <v>42</v>
      </c>
      <c r="G9" s="294"/>
      <c r="H9" s="294"/>
      <c r="I9" s="294"/>
      <c r="J9" s="295"/>
      <c r="K9" s="72" t="s">
        <v>97</v>
      </c>
      <c r="N9" s="17"/>
      <c r="O9" s="82"/>
    </row>
    <row r="10" spans="2:15" ht="15" thickBot="1" x14ac:dyDescent="0.25">
      <c r="B10" s="73"/>
      <c r="C10" s="80" t="s">
        <v>28</v>
      </c>
      <c r="D10" s="81"/>
      <c r="E10" s="81">
        <f>SUM(E6:E9)</f>
        <v>0.99999999999999989</v>
      </c>
      <c r="F10" s="74"/>
      <c r="G10" s="74"/>
      <c r="H10" s="74"/>
      <c r="I10" s="74"/>
      <c r="J10" s="74"/>
      <c r="K10" s="75"/>
      <c r="N10" s="97"/>
      <c r="O10" s="82"/>
    </row>
    <row r="11" spans="2:15" x14ac:dyDescent="0.2">
      <c r="N11" s="96"/>
    </row>
    <row r="12" spans="2:15" x14ac:dyDescent="0.2">
      <c r="C12" s="79" t="s">
        <v>35</v>
      </c>
    </row>
    <row r="14" spans="2:15" x14ac:dyDescent="0.2">
      <c r="C14" s="79" t="s">
        <v>29</v>
      </c>
      <c r="D14" s="79" t="s">
        <v>34</v>
      </c>
    </row>
    <row r="16" spans="2:15" ht="19.5" x14ac:dyDescent="0.2">
      <c r="D16" s="77" t="s">
        <v>18</v>
      </c>
      <c r="E16" s="76" t="s">
        <v>32</v>
      </c>
    </row>
    <row r="17" spans="2:9" ht="19.5" x14ac:dyDescent="0.2">
      <c r="D17" s="77" t="s">
        <v>19</v>
      </c>
      <c r="E17" s="76" t="s">
        <v>30</v>
      </c>
    </row>
    <row r="18" spans="2:9" ht="18.75" x14ac:dyDescent="0.2">
      <c r="D18" s="78" t="s">
        <v>33</v>
      </c>
      <c r="E18" s="76" t="s">
        <v>31</v>
      </c>
    </row>
    <row r="20" spans="2:9" ht="22.5" customHeight="1" x14ac:dyDescent="0.2">
      <c r="C20" s="240"/>
      <c r="D20" s="241"/>
      <c r="E20" s="241"/>
      <c r="F20" s="241"/>
      <c r="G20" s="242"/>
      <c r="H20" s="241"/>
      <c r="I20" s="242"/>
    </row>
    <row r="21" spans="2:9" ht="12.75" customHeight="1" x14ac:dyDescent="0.2">
      <c r="B21" s="251" t="s">
        <v>119</v>
      </c>
      <c r="D21" s="252"/>
      <c r="E21" s="253"/>
      <c r="F21" s="243"/>
      <c r="G21" s="244"/>
      <c r="H21" s="256"/>
      <c r="I21" s="256"/>
    </row>
    <row r="22" spans="2:9" ht="12.75" customHeight="1" x14ac:dyDescent="0.2">
      <c r="C22" s="251" t="s">
        <v>72</v>
      </c>
      <c r="D22" s="252"/>
      <c r="E22" s="253"/>
      <c r="F22" s="243"/>
      <c r="G22" s="244"/>
      <c r="H22" s="256"/>
      <c r="I22" s="256"/>
    </row>
    <row r="23" spans="2:9" ht="12.75" customHeight="1" x14ac:dyDescent="0.2">
      <c r="C23" s="251" t="s">
        <v>73</v>
      </c>
      <c r="D23" s="252"/>
      <c r="E23" s="253"/>
      <c r="F23" s="243"/>
      <c r="G23" s="244"/>
      <c r="H23" s="283"/>
      <c r="I23" s="283"/>
    </row>
    <row r="24" spans="2:9" ht="12.75" customHeight="1" x14ac:dyDescent="0.2">
      <c r="C24" s="251" t="s">
        <v>71</v>
      </c>
      <c r="D24" s="252"/>
      <c r="E24" s="253"/>
      <c r="F24" s="243"/>
      <c r="G24" s="244"/>
      <c r="H24" s="283"/>
      <c r="I24" s="283"/>
    </row>
    <row r="25" spans="2:9" ht="12.75" customHeight="1" x14ac:dyDescent="0.2">
      <c r="C25" s="251" t="s">
        <v>75</v>
      </c>
      <c r="D25" s="252"/>
      <c r="E25" s="253"/>
      <c r="F25" s="243"/>
      <c r="G25" s="244"/>
      <c r="H25" s="283"/>
      <c r="I25" s="283"/>
    </row>
    <row r="26" spans="2:9" ht="12.75" customHeight="1" x14ac:dyDescent="0.2">
      <c r="C26" s="251" t="s">
        <v>74</v>
      </c>
      <c r="D26" s="252"/>
      <c r="E26" s="253"/>
      <c r="F26" s="243"/>
      <c r="G26" s="244"/>
      <c r="H26" s="283"/>
      <c r="I26" s="283"/>
    </row>
    <row r="27" spans="2:9" ht="14.25" customHeight="1" x14ac:dyDescent="0.2">
      <c r="C27" s="251" t="s">
        <v>76</v>
      </c>
      <c r="D27" s="252"/>
      <c r="E27" s="253"/>
      <c r="F27" s="78"/>
      <c r="G27" s="244"/>
      <c r="H27" s="283"/>
      <c r="I27" s="283"/>
    </row>
    <row r="28" spans="2:9" ht="12.75" customHeight="1" x14ac:dyDescent="0.2">
      <c r="C28" s="251" t="s">
        <v>77</v>
      </c>
      <c r="D28" s="252"/>
      <c r="E28" s="253"/>
      <c r="F28" s="243"/>
      <c r="G28" s="244"/>
      <c r="H28" s="283"/>
      <c r="I28" s="283"/>
    </row>
    <row r="29" spans="2:9" ht="14.25" x14ac:dyDescent="0.2">
      <c r="D29" s="98"/>
      <c r="E29" s="19"/>
      <c r="F29" s="98"/>
      <c r="G29" s="98"/>
      <c r="H29" s="98"/>
      <c r="I29" s="245"/>
    </row>
    <row r="30" spans="2:9" x14ac:dyDescent="0.2">
      <c r="B30" s="251" t="s">
        <v>120</v>
      </c>
      <c r="D30" s="98"/>
      <c r="E30" s="98"/>
      <c r="F30" s="98"/>
      <c r="G30" s="98"/>
      <c r="H30" s="98"/>
    </row>
    <row r="31" spans="2:9" x14ac:dyDescent="0.2">
      <c r="C31" s="251" t="s">
        <v>81</v>
      </c>
    </row>
    <row r="32" spans="2:9" x14ac:dyDescent="0.2">
      <c r="C32" s="251" t="s">
        <v>82</v>
      </c>
    </row>
    <row r="33" spans="3:3" x14ac:dyDescent="0.2">
      <c r="C33" s="251" t="s">
        <v>83</v>
      </c>
    </row>
    <row r="34" spans="3:3" x14ac:dyDescent="0.2">
      <c r="C34" s="251" t="s">
        <v>84</v>
      </c>
    </row>
  </sheetData>
  <mergeCells count="17">
    <mergeCell ref="B2:K2"/>
    <mergeCell ref="D3:K3"/>
    <mergeCell ref="B4:B5"/>
    <mergeCell ref="C4:C5"/>
    <mergeCell ref="D4:E4"/>
    <mergeCell ref="F4:J4"/>
    <mergeCell ref="F5:J5"/>
    <mergeCell ref="H25:H26"/>
    <mergeCell ref="I25:I26"/>
    <mergeCell ref="H27:H28"/>
    <mergeCell ref="I27:I28"/>
    <mergeCell ref="F6:J6"/>
    <mergeCell ref="F7:J7"/>
    <mergeCell ref="F8:J8"/>
    <mergeCell ref="F9:J9"/>
    <mergeCell ref="H23:H24"/>
    <mergeCell ref="I23:I24"/>
  </mergeCells>
  <pageMargins left="0.7" right="0.7" top="0.75" bottom="0.75" header="0.3" footer="0.3"/>
  <pageSetup scale="63" fitToHeight="0" orientation="landscape" horizontalDpi="4294967294" verticalDpi="4294967294" r:id="rId1"/>
  <headerFooter>
    <oddHeader>&amp;C&amp;F</oddHeader>
    <oddFooter>&amp;C&amp;P&amp;R&amp;D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zoomScale="80" zoomScaleNormal="80" workbookViewId="0">
      <selection activeCell="D7" sqref="D7:H7"/>
    </sheetView>
  </sheetViews>
  <sheetFormatPr baseColWidth="10" defaultRowHeight="12.75" x14ac:dyDescent="0.2"/>
  <cols>
    <col min="1" max="1" width="2" bestFit="1" customWidth="1"/>
    <col min="2" max="2" width="12.7109375" bestFit="1" customWidth="1"/>
    <col min="3" max="3" width="8.140625" customWidth="1"/>
    <col min="4" max="4" width="24.28515625" customWidth="1"/>
    <col min="5" max="5" width="49.42578125" customWidth="1"/>
    <col min="6" max="14" width="14.5703125" customWidth="1"/>
  </cols>
  <sheetData>
    <row r="1" spans="1:14" ht="35.25" customHeight="1" x14ac:dyDescent="0.2">
      <c r="B1" s="341" t="s">
        <v>68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4" x14ac:dyDescent="0.2">
      <c r="B2" s="99" t="s">
        <v>70</v>
      </c>
      <c r="C2" s="99"/>
      <c r="D2" s="99"/>
      <c r="E2" s="99"/>
      <c r="F2" s="99"/>
      <c r="G2" s="99"/>
      <c r="H2" s="99"/>
      <c r="M2" s="207" t="s">
        <v>95</v>
      </c>
    </row>
    <row r="3" spans="1:14" x14ac:dyDescent="0.2">
      <c r="A3" s="99"/>
      <c r="B3" s="99"/>
      <c r="C3" s="99"/>
      <c r="D3" s="99"/>
      <c r="E3" s="99"/>
      <c r="F3" s="99"/>
      <c r="G3" s="99"/>
      <c r="H3" s="99"/>
      <c r="M3" s="207"/>
    </row>
    <row r="4" spans="1:14" x14ac:dyDescent="0.2">
      <c r="A4" s="129"/>
      <c r="B4" s="129"/>
      <c r="C4" s="129"/>
      <c r="D4" s="315"/>
      <c r="E4" s="316"/>
      <c r="F4" s="316"/>
      <c r="G4" s="316"/>
      <c r="H4" s="317"/>
      <c r="I4" s="140">
        <v>43101</v>
      </c>
      <c r="J4" s="141">
        <v>43132</v>
      </c>
      <c r="K4" s="140">
        <v>43160</v>
      </c>
      <c r="L4" s="140">
        <v>43191</v>
      </c>
      <c r="M4" s="141">
        <v>43221</v>
      </c>
    </row>
    <row r="5" spans="1:14" s="124" customFormat="1" ht="39" customHeight="1" x14ac:dyDescent="0.2">
      <c r="A5" s="130">
        <v>1</v>
      </c>
      <c r="B5" s="130" t="s">
        <v>6</v>
      </c>
      <c r="C5" s="131">
        <v>0.5</v>
      </c>
      <c r="D5" s="318" t="s">
        <v>40</v>
      </c>
      <c r="E5" s="319"/>
      <c r="F5" s="319"/>
      <c r="G5" s="319"/>
      <c r="H5" s="320"/>
      <c r="I5" s="132">
        <v>1</v>
      </c>
      <c r="J5" s="133">
        <f>+H23</f>
        <v>1.036</v>
      </c>
      <c r="K5" s="134">
        <f>+J23</f>
        <v>1.0569999999999999</v>
      </c>
      <c r="L5" s="134">
        <f>+L23</f>
        <v>1.0569999999999999</v>
      </c>
      <c r="M5" s="133">
        <f>+N23</f>
        <v>1.0569999999999999</v>
      </c>
    </row>
    <row r="6" spans="1:14" s="124" customFormat="1" ht="39" customHeight="1" x14ac:dyDescent="0.2">
      <c r="A6" s="130">
        <v>2</v>
      </c>
      <c r="B6" s="130" t="s">
        <v>6</v>
      </c>
      <c r="C6" s="131">
        <v>0.2</v>
      </c>
      <c r="D6" s="318" t="s">
        <v>41</v>
      </c>
      <c r="E6" s="319"/>
      <c r="F6" s="319"/>
      <c r="G6" s="319"/>
      <c r="H6" s="320"/>
      <c r="I6" s="132">
        <v>1</v>
      </c>
      <c r="J6" s="133">
        <f>+H34</f>
        <v>1</v>
      </c>
      <c r="K6" s="134">
        <f>+J34</f>
        <v>1</v>
      </c>
      <c r="L6" s="134">
        <f>+L34</f>
        <v>1</v>
      </c>
      <c r="M6" s="133">
        <f>+N34</f>
        <v>1</v>
      </c>
    </row>
    <row r="7" spans="1:14" s="124" customFormat="1" ht="39" customHeight="1" x14ac:dyDescent="0.2">
      <c r="A7" s="130">
        <v>3</v>
      </c>
      <c r="B7" s="130" t="s">
        <v>36</v>
      </c>
      <c r="C7" s="131">
        <v>0.2</v>
      </c>
      <c r="D7" s="321" t="s">
        <v>118</v>
      </c>
      <c r="E7" s="322"/>
      <c r="F7" s="322"/>
      <c r="G7" s="322"/>
      <c r="H7" s="323"/>
      <c r="I7" s="132">
        <v>1</v>
      </c>
      <c r="J7" s="133">
        <f>+G53</f>
        <v>1.0348999999999999</v>
      </c>
      <c r="K7" s="134">
        <f>+H53</f>
        <v>1.0284</v>
      </c>
      <c r="L7" s="134">
        <f>+I53</f>
        <v>1.0402</v>
      </c>
      <c r="M7" s="133">
        <f>+J53</f>
        <v>1.0667</v>
      </c>
    </row>
    <row r="8" spans="1:14" s="124" customFormat="1" ht="39" customHeight="1" x14ac:dyDescent="0.2">
      <c r="A8" s="130">
        <v>4</v>
      </c>
      <c r="B8" s="135" t="s">
        <v>3</v>
      </c>
      <c r="C8" s="136">
        <v>0.1</v>
      </c>
      <c r="D8" s="324" t="s">
        <v>42</v>
      </c>
      <c r="E8" s="325"/>
      <c r="F8" s="325"/>
      <c r="G8" s="325"/>
      <c r="H8" s="326"/>
      <c r="I8" s="137">
        <v>1</v>
      </c>
      <c r="J8" s="142">
        <f>ROUND(H74,4)</f>
        <v>1.2863</v>
      </c>
      <c r="K8" s="139">
        <f>+J74</f>
        <v>1</v>
      </c>
      <c r="L8" s="143">
        <f>+L74</f>
        <v>1</v>
      </c>
      <c r="M8" s="142">
        <f>+N74</f>
        <v>1</v>
      </c>
    </row>
    <row r="9" spans="1:14" s="124" customFormat="1" ht="28.5" customHeight="1" x14ac:dyDescent="0.2">
      <c r="A9" s="130"/>
      <c r="B9" s="130"/>
      <c r="C9" s="131"/>
      <c r="D9" s="327" t="s">
        <v>57</v>
      </c>
      <c r="E9" s="328"/>
      <c r="F9" s="328"/>
      <c r="G9" s="328"/>
      <c r="H9" s="329"/>
      <c r="I9" s="132"/>
      <c r="J9" s="133">
        <f>ROUND(SUMPRODUCT(J5:J8,$C$5:$C$8),4)</f>
        <v>1.0536000000000001</v>
      </c>
      <c r="K9" s="134">
        <f>ROUND(SUMPRODUCT(K5:K8,$C$5:$C$8),4)</f>
        <v>1.0342</v>
      </c>
      <c r="L9" s="134">
        <f>ROUND(SUMPRODUCT(L5:L8,$C$5:$C$8),4)</f>
        <v>1.0365</v>
      </c>
      <c r="M9" s="133">
        <f>ROUND(SUMPRODUCT(M5:M8,$C$5:$C$8),4)</f>
        <v>1.0418000000000001</v>
      </c>
    </row>
    <row r="10" spans="1:14" s="124" customFormat="1" ht="27.75" customHeight="1" x14ac:dyDescent="0.2">
      <c r="A10" s="130"/>
      <c r="B10" s="135"/>
      <c r="C10" s="136"/>
      <c r="D10" s="330" t="s">
        <v>61</v>
      </c>
      <c r="E10" s="331"/>
      <c r="F10" s="331"/>
      <c r="G10" s="331"/>
      <c r="H10" s="332"/>
      <c r="I10" s="137"/>
      <c r="J10" s="208">
        <f>+J9-1</f>
        <v>5.3600000000000092E-2</v>
      </c>
      <c r="K10" s="209">
        <f t="shared" ref="K10:M10" si="0">+K9-1</f>
        <v>3.4200000000000008E-2</v>
      </c>
      <c r="L10" s="209">
        <f t="shared" si="0"/>
        <v>3.6499999999999977E-2</v>
      </c>
      <c r="M10" s="208">
        <f t="shared" si="0"/>
        <v>4.1800000000000059E-2</v>
      </c>
    </row>
    <row r="11" spans="1:14" s="124" customFormat="1" ht="28.5" customHeight="1" x14ac:dyDescent="0.2">
      <c r="A11" s="135"/>
      <c r="B11" s="135"/>
      <c r="C11" s="136"/>
      <c r="D11" s="333" t="s">
        <v>98</v>
      </c>
      <c r="E11" s="334"/>
      <c r="F11" s="334"/>
      <c r="G11" s="334"/>
      <c r="H11" s="335"/>
      <c r="I11" s="137"/>
      <c r="J11" s="138" t="s">
        <v>89</v>
      </c>
      <c r="K11" s="139"/>
      <c r="L11" s="135"/>
      <c r="M11" s="138" t="s">
        <v>89</v>
      </c>
    </row>
    <row r="12" spans="1:14" s="124" customFormat="1" ht="39" customHeight="1" x14ac:dyDescent="0.2">
      <c r="C12" s="125"/>
      <c r="D12" s="314" t="s">
        <v>94</v>
      </c>
      <c r="E12" s="314"/>
      <c r="F12" s="314"/>
      <c r="G12" s="314"/>
      <c r="H12" s="314"/>
      <c r="I12" s="314"/>
      <c r="J12" s="126"/>
      <c r="K12" s="126"/>
    </row>
    <row r="13" spans="1:14" ht="13.5" thickBot="1" x14ac:dyDescent="0.25"/>
    <row r="14" spans="1:14" ht="24.75" customHeight="1" x14ac:dyDescent="0.2">
      <c r="B14" s="144"/>
      <c r="C14" s="145"/>
      <c r="D14" s="145"/>
      <c r="E14" s="145"/>
      <c r="F14" s="146" t="s">
        <v>79</v>
      </c>
      <c r="G14" s="147" t="s">
        <v>90</v>
      </c>
      <c r="H14" s="145"/>
      <c r="I14" s="145"/>
      <c r="J14" s="145"/>
      <c r="K14" s="145"/>
      <c r="L14" s="145"/>
      <c r="M14" s="147" t="s">
        <v>93</v>
      </c>
      <c r="N14" s="148"/>
    </row>
    <row r="15" spans="1:14" x14ac:dyDescent="0.2">
      <c r="B15" s="149" t="s">
        <v>69</v>
      </c>
      <c r="C15" s="150"/>
      <c r="D15" s="150"/>
      <c r="E15" s="150"/>
      <c r="F15" s="265">
        <v>43101</v>
      </c>
      <c r="G15" s="265">
        <v>43132</v>
      </c>
      <c r="H15" s="267" t="s">
        <v>78</v>
      </c>
      <c r="I15" s="265">
        <v>43160</v>
      </c>
      <c r="J15" s="267" t="s">
        <v>78</v>
      </c>
      <c r="K15" s="265">
        <v>43191</v>
      </c>
      <c r="L15" s="267" t="s">
        <v>78</v>
      </c>
      <c r="M15" s="265">
        <v>43221</v>
      </c>
      <c r="N15" s="268" t="s">
        <v>78</v>
      </c>
    </row>
    <row r="16" spans="1:14" x14ac:dyDescent="0.2">
      <c r="B16" s="152"/>
      <c r="C16" s="153">
        <v>0.14285714285714285</v>
      </c>
      <c r="D16" s="154" t="s">
        <v>72</v>
      </c>
      <c r="E16" s="154"/>
      <c r="F16" s="155">
        <v>40953</v>
      </c>
      <c r="G16" s="155">
        <v>42429</v>
      </c>
      <c r="H16" s="156">
        <f t="shared" ref="H16:H22" si="1">ROUND(G16/$F16*$C16,4)</f>
        <v>0.14799999999999999</v>
      </c>
      <c r="I16" s="155">
        <v>44846</v>
      </c>
      <c r="J16" s="156">
        <f t="shared" ref="J16:J22" si="2">ROUND(I16/$G16*$C16,4)</f>
        <v>0.151</v>
      </c>
      <c r="K16" s="155">
        <v>44846</v>
      </c>
      <c r="L16" s="156">
        <f t="shared" ref="L16:L22" si="3">ROUND(K16/$G16*$C16,4)</f>
        <v>0.151</v>
      </c>
      <c r="M16" s="155">
        <v>44846</v>
      </c>
      <c r="N16" s="157">
        <f t="shared" ref="N16:N22" si="4">ROUND(M16/$G16*$C16,4)</f>
        <v>0.151</v>
      </c>
    </row>
    <row r="17" spans="2:14" x14ac:dyDescent="0.2">
      <c r="B17" s="152"/>
      <c r="C17" s="153">
        <v>0.14285714285714285</v>
      </c>
      <c r="D17" s="154" t="s">
        <v>73</v>
      </c>
      <c r="E17" s="154"/>
      <c r="F17" s="155">
        <v>39401</v>
      </c>
      <c r="G17" s="155">
        <v>40822</v>
      </c>
      <c r="H17" s="156">
        <f t="shared" si="1"/>
        <v>0.14799999999999999</v>
      </c>
      <c r="I17" s="155">
        <v>43147</v>
      </c>
      <c r="J17" s="156">
        <f t="shared" si="2"/>
        <v>0.151</v>
      </c>
      <c r="K17" s="155">
        <v>43147</v>
      </c>
      <c r="L17" s="156">
        <f t="shared" si="3"/>
        <v>0.151</v>
      </c>
      <c r="M17" s="155">
        <v>43147</v>
      </c>
      <c r="N17" s="157">
        <f t="shared" si="4"/>
        <v>0.151</v>
      </c>
    </row>
    <row r="18" spans="2:14" x14ac:dyDescent="0.2">
      <c r="B18" s="152"/>
      <c r="C18" s="153">
        <v>0.14285714285714285</v>
      </c>
      <c r="D18" s="154" t="s">
        <v>71</v>
      </c>
      <c r="E18" s="154"/>
      <c r="F18" s="155">
        <v>36717</v>
      </c>
      <c r="G18" s="155">
        <v>38041</v>
      </c>
      <c r="H18" s="156">
        <f t="shared" si="1"/>
        <v>0.14799999999999999</v>
      </c>
      <c r="I18" s="155">
        <v>40208</v>
      </c>
      <c r="J18" s="156">
        <f t="shared" si="2"/>
        <v>0.151</v>
      </c>
      <c r="K18" s="155">
        <v>40208</v>
      </c>
      <c r="L18" s="156">
        <f t="shared" si="3"/>
        <v>0.151</v>
      </c>
      <c r="M18" s="155">
        <v>40208</v>
      </c>
      <c r="N18" s="157">
        <f t="shared" si="4"/>
        <v>0.151</v>
      </c>
    </row>
    <row r="19" spans="2:14" x14ac:dyDescent="0.2">
      <c r="B19" s="152"/>
      <c r="C19" s="153">
        <v>0.14285714285714285</v>
      </c>
      <c r="D19" s="154" t="s">
        <v>75</v>
      </c>
      <c r="E19" s="154"/>
      <c r="F19" s="155">
        <v>35229</v>
      </c>
      <c r="G19" s="155">
        <v>36499</v>
      </c>
      <c r="H19" s="156">
        <f t="shared" si="1"/>
        <v>0.14799999999999999</v>
      </c>
      <c r="I19" s="155">
        <v>38578</v>
      </c>
      <c r="J19" s="156">
        <f t="shared" si="2"/>
        <v>0.151</v>
      </c>
      <c r="K19" s="155">
        <v>38578</v>
      </c>
      <c r="L19" s="156">
        <f t="shared" si="3"/>
        <v>0.151</v>
      </c>
      <c r="M19" s="155">
        <v>38578</v>
      </c>
      <c r="N19" s="157">
        <f t="shared" si="4"/>
        <v>0.151</v>
      </c>
    </row>
    <row r="20" spans="2:14" x14ac:dyDescent="0.2">
      <c r="B20" s="152"/>
      <c r="C20" s="153">
        <v>0.14285714285714285</v>
      </c>
      <c r="D20" s="154" t="s">
        <v>74</v>
      </c>
      <c r="E20" s="154"/>
      <c r="F20" s="155">
        <v>32475</v>
      </c>
      <c r="G20" s="155">
        <v>33646</v>
      </c>
      <c r="H20" s="156">
        <f t="shared" si="1"/>
        <v>0.14799999999999999</v>
      </c>
      <c r="I20" s="155">
        <v>35563</v>
      </c>
      <c r="J20" s="156">
        <f t="shared" si="2"/>
        <v>0.151</v>
      </c>
      <c r="K20" s="155">
        <v>35563</v>
      </c>
      <c r="L20" s="156">
        <f t="shared" si="3"/>
        <v>0.151</v>
      </c>
      <c r="M20" s="155">
        <v>35563</v>
      </c>
      <c r="N20" s="157">
        <f t="shared" si="4"/>
        <v>0.151</v>
      </c>
    </row>
    <row r="21" spans="2:14" x14ac:dyDescent="0.2">
      <c r="B21" s="152"/>
      <c r="C21" s="153">
        <v>0.14285714285714285</v>
      </c>
      <c r="D21" s="154" t="s">
        <v>76</v>
      </c>
      <c r="E21" s="154"/>
      <c r="F21" s="155">
        <v>28345</v>
      </c>
      <c r="G21" s="155">
        <v>29368</v>
      </c>
      <c r="H21" s="156">
        <f t="shared" si="1"/>
        <v>0.14799999999999999</v>
      </c>
      <c r="I21" s="155">
        <v>31040</v>
      </c>
      <c r="J21" s="156">
        <f t="shared" si="2"/>
        <v>0.151</v>
      </c>
      <c r="K21" s="155">
        <v>31040</v>
      </c>
      <c r="L21" s="156">
        <f t="shared" si="3"/>
        <v>0.151</v>
      </c>
      <c r="M21" s="155">
        <v>31040</v>
      </c>
      <c r="N21" s="157">
        <f t="shared" si="4"/>
        <v>0.151</v>
      </c>
    </row>
    <row r="22" spans="2:14" x14ac:dyDescent="0.2">
      <c r="B22" s="152"/>
      <c r="C22" s="153">
        <v>0.14285714285714285</v>
      </c>
      <c r="D22" s="154" t="s">
        <v>77</v>
      </c>
      <c r="E22" s="154"/>
      <c r="F22" s="158">
        <v>26396</v>
      </c>
      <c r="G22" s="158">
        <v>27348</v>
      </c>
      <c r="H22" s="159">
        <f t="shared" si="1"/>
        <v>0.14799999999999999</v>
      </c>
      <c r="I22" s="158">
        <v>28906</v>
      </c>
      <c r="J22" s="159">
        <f t="shared" si="2"/>
        <v>0.151</v>
      </c>
      <c r="K22" s="158">
        <v>28906</v>
      </c>
      <c r="L22" s="159">
        <f t="shared" si="3"/>
        <v>0.151</v>
      </c>
      <c r="M22" s="158">
        <v>28906</v>
      </c>
      <c r="N22" s="160">
        <f t="shared" si="4"/>
        <v>0.151</v>
      </c>
    </row>
    <row r="23" spans="2:14" x14ac:dyDescent="0.2">
      <c r="B23" s="152"/>
      <c r="C23" s="150"/>
      <c r="D23" s="154" t="s">
        <v>57</v>
      </c>
      <c r="E23" s="154"/>
      <c r="F23" s="150"/>
      <c r="G23" s="156"/>
      <c r="H23" s="161">
        <f>SUM(H16:H22)</f>
        <v>1.036</v>
      </c>
      <c r="I23" s="156"/>
      <c r="J23" s="161">
        <f>SUM(J16:J22)</f>
        <v>1.0569999999999999</v>
      </c>
      <c r="K23" s="156"/>
      <c r="L23" s="161">
        <f>SUM(L16:L22)</f>
        <v>1.0569999999999999</v>
      </c>
      <c r="M23" s="156"/>
      <c r="N23" s="162">
        <f>SUM(N16:N22)</f>
        <v>1.0569999999999999</v>
      </c>
    </row>
    <row r="24" spans="2:14" x14ac:dyDescent="0.2">
      <c r="B24" s="152"/>
      <c r="C24" s="150"/>
      <c r="D24" s="150"/>
      <c r="E24" s="150"/>
      <c r="F24" s="150"/>
      <c r="G24" s="150"/>
      <c r="H24" s="247" t="s">
        <v>91</v>
      </c>
      <c r="I24" s="246"/>
      <c r="J24" s="200" t="s">
        <v>92</v>
      </c>
      <c r="K24" s="246"/>
      <c r="L24" s="200" t="s">
        <v>92</v>
      </c>
      <c r="M24" s="246"/>
      <c r="N24" s="201" t="s">
        <v>92</v>
      </c>
    </row>
    <row r="25" spans="2:14" ht="13.5" thickBot="1" x14ac:dyDescent="0.25">
      <c r="B25" s="163"/>
      <c r="C25" s="164"/>
      <c r="D25" s="165"/>
      <c r="E25" s="165"/>
      <c r="F25" s="164"/>
      <c r="G25" s="164"/>
      <c r="H25" s="164"/>
      <c r="I25" s="166"/>
      <c r="J25" s="164"/>
      <c r="K25" s="164"/>
      <c r="L25" s="164"/>
      <c r="M25" s="164"/>
      <c r="N25" s="167"/>
    </row>
    <row r="27" spans="2:14" ht="13.5" thickBot="1" x14ac:dyDescent="0.25"/>
    <row r="28" spans="2:14" ht="25.5" customHeight="1" x14ac:dyDescent="0.2">
      <c r="B28" s="168"/>
      <c r="C28" s="169"/>
      <c r="D28" s="169"/>
      <c r="E28" s="169"/>
      <c r="F28" s="170" t="s">
        <v>79</v>
      </c>
      <c r="G28" s="171" t="s">
        <v>90</v>
      </c>
      <c r="H28" s="169"/>
      <c r="I28" s="169"/>
      <c r="J28" s="169"/>
      <c r="K28" s="169"/>
      <c r="L28" s="169"/>
      <c r="M28" s="171" t="s">
        <v>93</v>
      </c>
      <c r="N28" s="172"/>
    </row>
    <row r="29" spans="2:14" x14ac:dyDescent="0.2">
      <c r="B29" s="173" t="s">
        <v>80</v>
      </c>
      <c r="C29" s="174"/>
      <c r="D29" s="174"/>
      <c r="E29" s="174"/>
      <c r="F29" s="269">
        <f>+F15</f>
        <v>43101</v>
      </c>
      <c r="G29" s="269">
        <f t="shared" ref="G29:J29" si="5">+G15</f>
        <v>43132</v>
      </c>
      <c r="H29" s="269" t="str">
        <f t="shared" si="5"/>
        <v>Ponderacion</v>
      </c>
      <c r="I29" s="269">
        <f t="shared" si="5"/>
        <v>43160</v>
      </c>
      <c r="J29" s="269" t="str">
        <f t="shared" si="5"/>
        <v>Ponderacion</v>
      </c>
      <c r="K29" s="269">
        <v>43191</v>
      </c>
      <c r="L29" s="270" t="s">
        <v>78</v>
      </c>
      <c r="M29" s="269">
        <v>43221</v>
      </c>
      <c r="N29" s="271" t="s">
        <v>78</v>
      </c>
    </row>
    <row r="30" spans="2:14" x14ac:dyDescent="0.2">
      <c r="B30" s="175"/>
      <c r="C30" s="176">
        <v>0.25</v>
      </c>
      <c r="D30" s="177" t="s">
        <v>81</v>
      </c>
      <c r="E30" s="177"/>
      <c r="F30" s="178">
        <v>48467.27</v>
      </c>
      <c r="G30" s="178">
        <v>48467.27</v>
      </c>
      <c r="H30" s="179">
        <f>ROUND(G30/$F30*$C30,4)</f>
        <v>0.25</v>
      </c>
      <c r="I30" s="178">
        <v>48467.27</v>
      </c>
      <c r="J30" s="179">
        <f>ROUND(I30/$G30*$C30,4)</f>
        <v>0.25</v>
      </c>
      <c r="K30" s="178">
        <v>48467.27</v>
      </c>
      <c r="L30" s="179">
        <f>ROUND(K30/$G30*$C30,4)</f>
        <v>0.25</v>
      </c>
      <c r="M30" s="178">
        <v>48467.27</v>
      </c>
      <c r="N30" s="180">
        <f>ROUND(M30/$G30*$C30,4)</f>
        <v>0.25</v>
      </c>
    </row>
    <row r="31" spans="2:14" x14ac:dyDescent="0.2">
      <c r="B31" s="175"/>
      <c r="C31" s="176">
        <v>0.25</v>
      </c>
      <c r="D31" s="177" t="s">
        <v>82</v>
      </c>
      <c r="E31" s="177"/>
      <c r="F31" s="178">
        <v>51617.72</v>
      </c>
      <c r="G31" s="178">
        <v>51617.72</v>
      </c>
      <c r="H31" s="179">
        <f>ROUND(G31/$F31*$C31,4)</f>
        <v>0.25</v>
      </c>
      <c r="I31" s="178">
        <v>51617.72</v>
      </c>
      <c r="J31" s="179">
        <f>ROUND(I31/$G31*$C31,4)</f>
        <v>0.25</v>
      </c>
      <c r="K31" s="178">
        <v>51617.72</v>
      </c>
      <c r="L31" s="179">
        <f>ROUND(K31/$G31*$C31,4)</f>
        <v>0.25</v>
      </c>
      <c r="M31" s="178">
        <v>51617.72</v>
      </c>
      <c r="N31" s="180">
        <f>ROUND(M31/$G31*$C31,4)</f>
        <v>0.25</v>
      </c>
    </row>
    <row r="32" spans="2:14" x14ac:dyDescent="0.2">
      <c r="B32" s="175"/>
      <c r="C32" s="176">
        <v>0.25</v>
      </c>
      <c r="D32" s="177" t="s">
        <v>83</v>
      </c>
      <c r="E32" s="177"/>
      <c r="F32" s="178">
        <v>52588.09</v>
      </c>
      <c r="G32" s="178">
        <v>52588.09</v>
      </c>
      <c r="H32" s="179">
        <f>ROUND(G32/$F32*$C32,4)</f>
        <v>0.25</v>
      </c>
      <c r="I32" s="178">
        <v>52588.09</v>
      </c>
      <c r="J32" s="179">
        <f>ROUND(I32/$G32*$C32,4)</f>
        <v>0.25</v>
      </c>
      <c r="K32" s="178">
        <v>52588.09</v>
      </c>
      <c r="L32" s="179">
        <f>ROUND(K32/$G32*$C32,4)</f>
        <v>0.25</v>
      </c>
      <c r="M32" s="178">
        <v>52588.09</v>
      </c>
      <c r="N32" s="180">
        <f>ROUND(M32/$G32*$C32,4)</f>
        <v>0.25</v>
      </c>
    </row>
    <row r="33" spans="2:14" x14ac:dyDescent="0.2">
      <c r="B33" s="175"/>
      <c r="C33" s="176">
        <v>0.25</v>
      </c>
      <c r="D33" s="177" t="s">
        <v>84</v>
      </c>
      <c r="E33" s="177"/>
      <c r="F33" s="181">
        <v>56804.63</v>
      </c>
      <c r="G33" s="181">
        <v>56804.63</v>
      </c>
      <c r="H33" s="182">
        <f>ROUND(G33/$F33*$C33,4)</f>
        <v>0.25</v>
      </c>
      <c r="I33" s="181">
        <v>56804.63</v>
      </c>
      <c r="J33" s="182">
        <f>ROUND(I33/$G33*$C33,4)</f>
        <v>0.25</v>
      </c>
      <c r="K33" s="181">
        <v>56804.63</v>
      </c>
      <c r="L33" s="182">
        <f>ROUND(K33/$G33*$C33,4)</f>
        <v>0.25</v>
      </c>
      <c r="M33" s="181">
        <v>56804.63</v>
      </c>
      <c r="N33" s="183">
        <f>ROUND(M33/$G33*$C33,4)</f>
        <v>0.25</v>
      </c>
    </row>
    <row r="34" spans="2:14" x14ac:dyDescent="0.2">
      <c r="B34" s="175"/>
      <c r="C34" s="174"/>
      <c r="D34" s="177" t="s">
        <v>57</v>
      </c>
      <c r="E34" s="177"/>
      <c r="F34" s="174"/>
      <c r="G34" s="179"/>
      <c r="H34" s="184">
        <f>SUM(H30:H33)</f>
        <v>1</v>
      </c>
      <c r="I34" s="179"/>
      <c r="J34" s="184">
        <f>SUM(J30:J33)</f>
        <v>1</v>
      </c>
      <c r="K34" s="179"/>
      <c r="L34" s="184">
        <f>SUM(L30:L33)</f>
        <v>1</v>
      </c>
      <c r="M34" s="179"/>
      <c r="N34" s="185">
        <f>SUM(N30:N33)</f>
        <v>1</v>
      </c>
    </row>
    <row r="35" spans="2:14" x14ac:dyDescent="0.2">
      <c r="B35" s="175"/>
      <c r="C35" s="174"/>
      <c r="D35" s="174"/>
      <c r="E35" s="174"/>
      <c r="F35" s="174"/>
      <c r="G35" s="174"/>
      <c r="H35" s="248" t="s">
        <v>91</v>
      </c>
      <c r="I35" s="249"/>
      <c r="J35" s="248" t="s">
        <v>92</v>
      </c>
      <c r="K35" s="249"/>
      <c r="L35" s="248" t="s">
        <v>92</v>
      </c>
      <c r="M35" s="249"/>
      <c r="N35" s="250" t="s">
        <v>92</v>
      </c>
    </row>
    <row r="36" spans="2:14" ht="13.5" thickBot="1" x14ac:dyDescent="0.25">
      <c r="B36" s="186"/>
      <c r="C36" s="187"/>
      <c r="D36" s="188"/>
      <c r="E36" s="188"/>
      <c r="F36" s="187"/>
      <c r="G36" s="187"/>
      <c r="H36" s="187"/>
      <c r="I36" s="189"/>
      <c r="J36" s="187"/>
      <c r="K36" s="187"/>
      <c r="L36" s="187"/>
      <c r="M36" s="187"/>
      <c r="N36" s="190"/>
    </row>
    <row r="37" spans="2:14" ht="13.5" thickBot="1" x14ac:dyDescent="0.25">
      <c r="B37" s="128"/>
      <c r="C37" s="128"/>
      <c r="D37" s="191"/>
      <c r="E37" s="191"/>
      <c r="F37" s="128"/>
      <c r="G37" s="128"/>
      <c r="H37" s="128"/>
      <c r="I37" s="192"/>
      <c r="J37" s="128"/>
      <c r="K37" s="128"/>
      <c r="L37" s="128"/>
      <c r="M37" s="128"/>
      <c r="N37" s="128"/>
    </row>
    <row r="38" spans="2:14" ht="25.5" x14ac:dyDescent="0.2">
      <c r="B38" s="144"/>
      <c r="C38" s="145"/>
      <c r="D38" s="145"/>
      <c r="E38" s="145"/>
      <c r="F38" s="146" t="s">
        <v>79</v>
      </c>
      <c r="G38" s="147" t="s">
        <v>90</v>
      </c>
      <c r="H38" s="145"/>
      <c r="I38" s="145"/>
      <c r="J38" s="193" t="s">
        <v>93</v>
      </c>
    </row>
    <row r="39" spans="2:14" x14ac:dyDescent="0.2">
      <c r="B39" s="149" t="s">
        <v>108</v>
      </c>
      <c r="C39" s="150"/>
      <c r="D39" s="150"/>
      <c r="E39" s="150"/>
      <c r="F39" s="265">
        <v>43101</v>
      </c>
      <c r="G39" s="265">
        <v>43132</v>
      </c>
      <c r="H39" s="265">
        <v>43160</v>
      </c>
      <c r="I39" s="265">
        <v>43191</v>
      </c>
      <c r="J39" s="266">
        <v>43221</v>
      </c>
    </row>
    <row r="40" spans="2:14" x14ac:dyDescent="0.2">
      <c r="B40" s="152"/>
      <c r="C40" s="150"/>
      <c r="D40" s="150"/>
      <c r="E40" s="150"/>
      <c r="F40" s="150"/>
      <c r="G40" s="150"/>
      <c r="H40" s="150"/>
      <c r="I40" s="150"/>
      <c r="J40" s="194"/>
    </row>
    <row r="41" spans="2:14" x14ac:dyDescent="0.2">
      <c r="B41" s="152"/>
      <c r="C41" s="150"/>
      <c r="D41" s="151" t="s">
        <v>57</v>
      </c>
      <c r="E41" s="151"/>
      <c r="F41" s="150"/>
      <c r="G41" s="195">
        <v>3.4000000000000002E-2</v>
      </c>
      <c r="H41" s="195">
        <v>2.8000000000000001E-2</v>
      </c>
      <c r="I41" s="195">
        <v>1.0999999999999999E-2</v>
      </c>
      <c r="J41" s="196">
        <v>2.5999999999999999E-2</v>
      </c>
    </row>
    <row r="42" spans="2:14" x14ac:dyDescent="0.2">
      <c r="B42" s="152"/>
      <c r="C42" s="150"/>
      <c r="D42" s="151" t="s">
        <v>87</v>
      </c>
      <c r="E42" s="151"/>
      <c r="F42" s="197">
        <v>100</v>
      </c>
      <c r="G42" s="150">
        <f>ROUND(F42*(1+G41),1)</f>
        <v>103.4</v>
      </c>
      <c r="H42" s="150">
        <f>ROUND(G42*(1+H41),1)</f>
        <v>106.3</v>
      </c>
      <c r="I42" s="150">
        <f t="shared" ref="I42" si="6">ROUND(H42*(1+I41),1)</f>
        <v>107.5</v>
      </c>
      <c r="J42" s="259">
        <f t="shared" ref="J42" si="7">ROUND(I42*(1+J41),1)</f>
        <v>110.3</v>
      </c>
    </row>
    <row r="43" spans="2:14" x14ac:dyDescent="0.2">
      <c r="B43" s="152"/>
      <c r="C43" s="150"/>
      <c r="D43" s="151" t="s">
        <v>57</v>
      </c>
      <c r="E43" s="151"/>
      <c r="F43" s="150"/>
      <c r="G43" s="198">
        <f>ROUND(G42/$F42,4)</f>
        <v>1.034</v>
      </c>
      <c r="H43" s="198">
        <f>ROUND(H42/$G42,4)</f>
        <v>1.028</v>
      </c>
      <c r="I43" s="198">
        <f>ROUND(I42/$G42,4)</f>
        <v>1.0397000000000001</v>
      </c>
      <c r="J43" s="199">
        <f>ROUND(J42/$G42,4)</f>
        <v>1.0667</v>
      </c>
    </row>
    <row r="44" spans="2:14" x14ac:dyDescent="0.2">
      <c r="B44" s="152"/>
      <c r="C44" s="150"/>
      <c r="D44" s="151"/>
      <c r="E44" s="151"/>
      <c r="F44" s="150"/>
      <c r="G44" s="247" t="s">
        <v>91</v>
      </c>
      <c r="H44" s="247" t="s">
        <v>92</v>
      </c>
      <c r="I44" s="247" t="s">
        <v>92</v>
      </c>
      <c r="J44" s="264" t="s">
        <v>92</v>
      </c>
    </row>
    <row r="45" spans="2:14" x14ac:dyDescent="0.2">
      <c r="B45" s="152"/>
      <c r="C45" s="150"/>
      <c r="D45" s="151"/>
      <c r="E45" s="151"/>
      <c r="F45" s="150"/>
      <c r="G45" s="200"/>
      <c r="H45" s="200"/>
      <c r="I45" s="200"/>
      <c r="J45" s="201"/>
    </row>
    <row r="46" spans="2:14" x14ac:dyDescent="0.2">
      <c r="B46" s="149" t="s">
        <v>109</v>
      </c>
      <c r="C46" s="150"/>
      <c r="D46" s="150"/>
      <c r="E46" s="150"/>
      <c r="F46" s="265">
        <v>43101</v>
      </c>
      <c r="G46" s="265">
        <v>43132</v>
      </c>
      <c r="H46" s="265">
        <v>43160</v>
      </c>
      <c r="I46" s="265">
        <v>43191</v>
      </c>
      <c r="J46" s="266">
        <v>43221</v>
      </c>
    </row>
    <row r="47" spans="2:14" x14ac:dyDescent="0.2">
      <c r="B47" s="152"/>
      <c r="C47" s="150"/>
      <c r="D47" s="150"/>
      <c r="E47" s="150"/>
      <c r="F47" s="150"/>
      <c r="G47" s="150"/>
      <c r="H47" s="150"/>
      <c r="I47" s="150"/>
      <c r="J47" s="194"/>
    </row>
    <row r="48" spans="2:14" x14ac:dyDescent="0.2">
      <c r="B48" s="152"/>
      <c r="C48" s="150"/>
      <c r="D48" s="151" t="s">
        <v>57</v>
      </c>
      <c r="E48" s="151"/>
      <c r="F48" s="150"/>
      <c r="G48" s="195">
        <v>4.2999999999999997E-2</v>
      </c>
      <c r="H48" s="195">
        <v>3.2000000000000001E-2</v>
      </c>
      <c r="I48" s="195">
        <v>1.2999999999999999E-2</v>
      </c>
      <c r="J48" s="196">
        <v>2.1000000000000001E-2</v>
      </c>
    </row>
    <row r="49" spans="2:14" x14ac:dyDescent="0.2">
      <c r="B49" s="152"/>
      <c r="C49" s="150"/>
      <c r="D49" s="151" t="s">
        <v>87</v>
      </c>
      <c r="E49" s="151"/>
      <c r="F49" s="197">
        <v>100</v>
      </c>
      <c r="G49" s="150">
        <f>ROUND(F49*(1+G48),1)</f>
        <v>104.3</v>
      </c>
      <c r="H49" s="150">
        <f>ROUND(G49*(1+H48),1)</f>
        <v>107.6</v>
      </c>
      <c r="I49" s="150">
        <f t="shared" ref="I49" si="8">ROUND(H49*(1+I48),1)</f>
        <v>109</v>
      </c>
      <c r="J49" s="194">
        <f t="shared" ref="J49" si="9">ROUND(I49*(1+J48),1)</f>
        <v>111.3</v>
      </c>
    </row>
    <row r="50" spans="2:14" x14ac:dyDescent="0.2">
      <c r="B50" s="152"/>
      <c r="C50" s="150"/>
      <c r="D50" s="151" t="s">
        <v>57</v>
      </c>
      <c r="E50" s="151"/>
      <c r="F50" s="150"/>
      <c r="G50" s="198">
        <f>ROUND(G49/$F49,4)</f>
        <v>1.0429999999999999</v>
      </c>
      <c r="H50" s="198">
        <f>ROUND(H49/$G49,4)</f>
        <v>1.0316000000000001</v>
      </c>
      <c r="I50" s="198">
        <f>ROUND(I49/$G49,4)</f>
        <v>1.0450999999999999</v>
      </c>
      <c r="J50" s="199">
        <f>ROUND(J49/$G49,4)</f>
        <v>1.0670999999999999</v>
      </c>
    </row>
    <row r="51" spans="2:14" x14ac:dyDescent="0.2">
      <c r="B51" s="152"/>
      <c r="C51" s="150"/>
      <c r="D51" s="151"/>
      <c r="E51" s="151"/>
      <c r="F51" s="150"/>
      <c r="G51" s="200" t="s">
        <v>91</v>
      </c>
      <c r="H51" s="200" t="s">
        <v>92</v>
      </c>
      <c r="I51" s="200" t="s">
        <v>92</v>
      </c>
      <c r="J51" s="201" t="s">
        <v>92</v>
      </c>
    </row>
    <row r="52" spans="2:14" x14ac:dyDescent="0.2">
      <c r="B52" s="152"/>
      <c r="C52" s="150"/>
      <c r="D52" s="151"/>
      <c r="E52" s="151"/>
      <c r="F52" s="150"/>
      <c r="G52" s="200"/>
      <c r="H52" s="200"/>
      <c r="I52" s="200"/>
      <c r="J52" s="201"/>
    </row>
    <row r="53" spans="2:14" x14ac:dyDescent="0.2">
      <c r="B53" s="149" t="s">
        <v>121</v>
      </c>
      <c r="C53" s="205"/>
      <c r="D53" s="205"/>
      <c r="E53" s="205"/>
      <c r="F53" s="205"/>
      <c r="G53" s="257">
        <f>ROUND(0.9*G43+0.1*G50,4)</f>
        <v>1.0348999999999999</v>
      </c>
      <c r="H53" s="257">
        <f t="shared" ref="H53:J53" si="10">ROUND(0.9*H43+0.1*H50,4)</f>
        <v>1.0284</v>
      </c>
      <c r="I53" s="257">
        <f t="shared" si="10"/>
        <v>1.0402</v>
      </c>
      <c r="J53" s="258">
        <f t="shared" si="10"/>
        <v>1.0667</v>
      </c>
    </row>
    <row r="54" spans="2:14" x14ac:dyDescent="0.2">
      <c r="B54" s="152"/>
      <c r="C54" s="150"/>
      <c r="D54" s="151"/>
      <c r="E54" s="151"/>
      <c r="F54" s="150"/>
      <c r="G54" s="200" t="s">
        <v>91</v>
      </c>
      <c r="H54" s="200" t="s">
        <v>92</v>
      </c>
      <c r="I54" s="200" t="s">
        <v>92</v>
      </c>
      <c r="J54" s="201" t="s">
        <v>92</v>
      </c>
    </row>
    <row r="55" spans="2:14" x14ac:dyDescent="0.2">
      <c r="B55" s="152"/>
      <c r="C55" s="150"/>
      <c r="D55" s="151" t="s">
        <v>85</v>
      </c>
      <c r="E55" s="151"/>
      <c r="F55" s="150"/>
      <c r="G55" s="150"/>
      <c r="H55" s="150"/>
      <c r="I55" s="150"/>
      <c r="J55" s="194"/>
    </row>
    <row r="56" spans="2:14" x14ac:dyDescent="0.2">
      <c r="B56" s="152"/>
      <c r="C56" s="150"/>
      <c r="D56" s="151" t="s">
        <v>86</v>
      </c>
      <c r="E56" s="151"/>
      <c r="F56" s="150"/>
      <c r="G56" s="150"/>
      <c r="H56" s="150"/>
      <c r="I56" s="150"/>
      <c r="J56" s="194"/>
    </row>
    <row r="57" spans="2:14" ht="13.5" thickBot="1" x14ac:dyDescent="0.25">
      <c r="B57" s="163"/>
      <c r="C57" s="164"/>
      <c r="D57" s="260" t="s">
        <v>88</v>
      </c>
      <c r="E57" s="260"/>
      <c r="F57" s="164"/>
      <c r="G57" s="164"/>
      <c r="H57" s="164"/>
      <c r="I57" s="164"/>
      <c r="J57" s="167"/>
    </row>
    <row r="59" spans="2:14" ht="13.5" thickBot="1" x14ac:dyDescent="0.25"/>
    <row r="60" spans="2:14" ht="12.75" customHeight="1" x14ac:dyDescent="0.2">
      <c r="B60" s="310" t="s">
        <v>42</v>
      </c>
      <c r="C60" s="311"/>
      <c r="D60" s="311"/>
      <c r="E60" s="311"/>
      <c r="F60" s="145"/>
      <c r="G60" s="145"/>
      <c r="H60" s="145"/>
      <c r="I60" s="145"/>
      <c r="J60" s="145"/>
      <c r="K60" s="145"/>
      <c r="L60" s="145"/>
      <c r="M60" s="145"/>
      <c r="N60" s="148"/>
    </row>
    <row r="61" spans="2:14" x14ac:dyDescent="0.2">
      <c r="B61" s="312"/>
      <c r="C61" s="313"/>
      <c r="D61" s="313"/>
      <c r="E61" s="313"/>
      <c r="F61" s="150"/>
      <c r="G61" s="150"/>
      <c r="H61" s="150"/>
      <c r="I61" s="150"/>
      <c r="J61" s="150"/>
      <c r="K61" s="150"/>
      <c r="L61" s="150"/>
      <c r="M61" s="150"/>
      <c r="N61" s="194"/>
    </row>
    <row r="62" spans="2:14" x14ac:dyDescent="0.2">
      <c r="B62" s="312"/>
      <c r="C62" s="313"/>
      <c r="D62" s="313"/>
      <c r="E62" s="313"/>
      <c r="F62" s="150"/>
      <c r="G62" s="150"/>
      <c r="H62" s="150"/>
      <c r="I62" s="150"/>
      <c r="J62" s="150"/>
      <c r="K62" s="150"/>
      <c r="L62" s="150"/>
      <c r="M62" s="150"/>
      <c r="N62" s="194"/>
    </row>
    <row r="63" spans="2:14" x14ac:dyDescent="0.2">
      <c r="B63" s="152"/>
      <c r="C63" s="150"/>
      <c r="D63" s="151"/>
      <c r="E63" s="151"/>
      <c r="F63" s="150"/>
      <c r="G63" s="150"/>
      <c r="H63" s="150"/>
      <c r="I63" s="150"/>
      <c r="J63" s="150"/>
      <c r="K63" s="150"/>
      <c r="L63" s="150"/>
      <c r="M63" s="150"/>
      <c r="N63" s="194"/>
    </row>
    <row r="64" spans="2:14" ht="26.25" customHeight="1" x14ac:dyDescent="0.2">
      <c r="B64" s="152"/>
      <c r="C64" s="200"/>
      <c r="D64" s="150"/>
      <c r="E64" s="150"/>
      <c r="F64" s="202" t="s">
        <v>79</v>
      </c>
      <c r="G64" s="203" t="s">
        <v>90</v>
      </c>
      <c r="H64" s="151"/>
      <c r="I64" s="204"/>
      <c r="J64" s="151"/>
      <c r="K64" s="150"/>
      <c r="L64" s="200"/>
      <c r="M64" s="203" t="s">
        <v>93</v>
      </c>
      <c r="N64" s="194"/>
    </row>
    <row r="65" spans="2:14" x14ac:dyDescent="0.2">
      <c r="B65" s="152"/>
      <c r="C65" s="150"/>
      <c r="D65" s="205" t="s">
        <v>51</v>
      </c>
      <c r="E65" s="205"/>
      <c r="F65" s="265">
        <v>43101</v>
      </c>
      <c r="G65" s="265">
        <v>43132</v>
      </c>
      <c r="H65" s="267" t="s">
        <v>67</v>
      </c>
      <c r="I65" s="265">
        <v>43160</v>
      </c>
      <c r="J65" s="267" t="s">
        <v>67</v>
      </c>
      <c r="K65" s="265">
        <v>43191</v>
      </c>
      <c r="L65" s="267" t="s">
        <v>67</v>
      </c>
      <c r="M65" s="265">
        <v>43221</v>
      </c>
      <c r="N65" s="268" t="s">
        <v>67</v>
      </c>
    </row>
    <row r="66" spans="2:14" x14ac:dyDescent="0.2">
      <c r="B66" s="152"/>
      <c r="C66" s="153">
        <v>0.16666666666666666</v>
      </c>
      <c r="D66" s="151" t="s">
        <v>52</v>
      </c>
      <c r="E66" s="151"/>
      <c r="F66" s="150">
        <v>1.1639999999999999</v>
      </c>
      <c r="G66" s="206">
        <v>1.5620000000000001</v>
      </c>
      <c r="H66" s="198">
        <f>ROUND(G66/$F66*$C66,6)</f>
        <v>0.22365399999999999</v>
      </c>
      <c r="I66" s="206">
        <v>1.5620000000000001</v>
      </c>
      <c r="J66" s="198">
        <f>ROUND(I66/$G66*$C66,6)</f>
        <v>0.16666700000000001</v>
      </c>
      <c r="K66" s="206">
        <v>1.5620000000000001</v>
      </c>
      <c r="L66" s="198">
        <f>ROUND(K66/$G66*$C66,6)</f>
        <v>0.16666700000000001</v>
      </c>
      <c r="M66" s="206">
        <v>1.5620000000000001</v>
      </c>
      <c r="N66" s="199">
        <f>ROUND(M66/$G66*$C66,6)</f>
        <v>0.16666700000000001</v>
      </c>
    </row>
    <row r="67" spans="2:14" x14ac:dyDescent="0.2">
      <c r="B67" s="152"/>
      <c r="C67" s="153">
        <v>0.16666666666666666</v>
      </c>
      <c r="D67" s="151" t="s">
        <v>53</v>
      </c>
      <c r="E67" s="151"/>
      <c r="F67" s="150">
        <v>1.159</v>
      </c>
      <c r="G67" s="206">
        <v>1.4910000000000001</v>
      </c>
      <c r="H67" s="198">
        <f>ROUND(G67/$F67*$C67,6)</f>
        <v>0.21440899999999999</v>
      </c>
      <c r="I67" s="206">
        <v>1.4910000000000001</v>
      </c>
      <c r="J67" s="198">
        <f>ROUND(I67/$G67*$C67,6)</f>
        <v>0.16666700000000001</v>
      </c>
      <c r="K67" s="206">
        <v>1.4910000000000001</v>
      </c>
      <c r="L67" s="198">
        <f>ROUND(K67/$G67*$C67,6)</f>
        <v>0.16666700000000001</v>
      </c>
      <c r="M67" s="206">
        <v>1.4910000000000001</v>
      </c>
      <c r="N67" s="199">
        <f>ROUND(M67/$G67*$C67,6)</f>
        <v>0.16666700000000001</v>
      </c>
    </row>
    <row r="68" spans="2:14" x14ac:dyDescent="0.2">
      <c r="B68" s="152"/>
      <c r="C68" s="153">
        <v>0.16666666666666666</v>
      </c>
      <c r="D68" s="151" t="s">
        <v>54</v>
      </c>
      <c r="E68" s="151"/>
      <c r="F68" s="150">
        <v>1.1539999999999999</v>
      </c>
      <c r="G68" s="206">
        <v>1.42</v>
      </c>
      <c r="H68" s="198">
        <f>ROUND(G68/$F68*$C68,6)</f>
        <v>0.20508399999999999</v>
      </c>
      <c r="I68" s="206">
        <v>1.42</v>
      </c>
      <c r="J68" s="198">
        <f>ROUND(I68/$G68*$C68,6)</f>
        <v>0.16666700000000001</v>
      </c>
      <c r="K68" s="206">
        <v>1.42</v>
      </c>
      <c r="L68" s="198">
        <f>ROUND(K68/$G68*$C68,6)</f>
        <v>0.16666700000000001</v>
      </c>
      <c r="M68" s="206">
        <v>1.42</v>
      </c>
      <c r="N68" s="199">
        <f>ROUND(M68/$G68*$C68,6)</f>
        <v>0.16666700000000001</v>
      </c>
    </row>
    <row r="69" spans="2:14" x14ac:dyDescent="0.2">
      <c r="B69" s="152"/>
      <c r="C69" s="150"/>
      <c r="D69" s="150"/>
      <c r="E69" s="150"/>
      <c r="F69" s="150"/>
      <c r="G69" s="206"/>
      <c r="H69" s="198"/>
      <c r="I69" s="206"/>
      <c r="J69" s="150"/>
      <c r="K69" s="206"/>
      <c r="L69" s="150"/>
      <c r="M69" s="206"/>
      <c r="N69" s="194"/>
    </row>
    <row r="70" spans="2:14" x14ac:dyDescent="0.2">
      <c r="B70" s="152"/>
      <c r="C70" s="150"/>
      <c r="D70" s="205" t="s">
        <v>58</v>
      </c>
      <c r="E70" s="205"/>
      <c r="F70" s="150"/>
      <c r="G70" s="206"/>
      <c r="H70" s="198"/>
      <c r="I70" s="206"/>
      <c r="J70" s="150"/>
      <c r="K70" s="206"/>
      <c r="L70" s="150"/>
      <c r="M70" s="206"/>
      <c r="N70" s="194"/>
    </row>
    <row r="71" spans="2:14" x14ac:dyDescent="0.2">
      <c r="B71" s="152"/>
      <c r="C71" s="153">
        <v>0.16666666666666666</v>
      </c>
      <c r="D71" s="151" t="s">
        <v>52</v>
      </c>
      <c r="E71" s="151"/>
      <c r="F71" s="150">
        <v>1.1639999999999999</v>
      </c>
      <c r="G71" s="206">
        <v>1.5620000000000001</v>
      </c>
      <c r="H71" s="198">
        <f>ROUND(G71/$F71*$C71,6)</f>
        <v>0.22365399999999999</v>
      </c>
      <c r="I71" s="206">
        <v>1.5620000000000001</v>
      </c>
      <c r="J71" s="198">
        <f>ROUND(I71/$G71*$C71,6)</f>
        <v>0.16666700000000001</v>
      </c>
      <c r="K71" s="206">
        <v>1.5620000000000001</v>
      </c>
      <c r="L71" s="198">
        <f>ROUND(K71/$G71*$C71,6)</f>
        <v>0.16666700000000001</v>
      </c>
      <c r="M71" s="206">
        <v>1.5620000000000001</v>
      </c>
      <c r="N71" s="199">
        <f>ROUND(M71/$G71*$C71,6)</f>
        <v>0.16666700000000001</v>
      </c>
    </row>
    <row r="72" spans="2:14" x14ac:dyDescent="0.2">
      <c r="B72" s="152"/>
      <c r="C72" s="153">
        <v>0.16666666666666666</v>
      </c>
      <c r="D72" s="151" t="s">
        <v>53</v>
      </c>
      <c r="E72" s="151"/>
      <c r="F72" s="150">
        <v>1.159</v>
      </c>
      <c r="G72" s="206">
        <v>1.4910000000000001</v>
      </c>
      <c r="H72" s="198">
        <f>ROUND(G72/$F72*$C72,6)</f>
        <v>0.21440899999999999</v>
      </c>
      <c r="I72" s="206">
        <v>1.4910000000000001</v>
      </c>
      <c r="J72" s="198">
        <f>ROUND(I72/$G72*$C72,6)</f>
        <v>0.16666700000000001</v>
      </c>
      <c r="K72" s="206">
        <v>1.4910000000000001</v>
      </c>
      <c r="L72" s="198">
        <f>ROUND(K72/$G72*$C72,6)</f>
        <v>0.16666700000000001</v>
      </c>
      <c r="M72" s="206">
        <v>1.4910000000000001</v>
      </c>
      <c r="N72" s="199">
        <f>ROUND(M72/$G72*$C72,6)</f>
        <v>0.16666700000000001</v>
      </c>
    </row>
    <row r="73" spans="2:14" x14ac:dyDescent="0.2">
      <c r="B73" s="152"/>
      <c r="C73" s="153">
        <v>0.16666666666666666</v>
      </c>
      <c r="D73" s="151" t="s">
        <v>54</v>
      </c>
      <c r="E73" s="151"/>
      <c r="F73" s="150">
        <v>1.1539999999999999</v>
      </c>
      <c r="G73" s="206">
        <v>1.42</v>
      </c>
      <c r="H73" s="198">
        <f>ROUND(G73/$F73*$C73,6)</f>
        <v>0.20508399999999999</v>
      </c>
      <c r="I73" s="206">
        <v>1.42</v>
      </c>
      <c r="J73" s="198">
        <f>ROUND(I73/$G73*$C73,6)</f>
        <v>0.16666700000000001</v>
      </c>
      <c r="K73" s="206">
        <v>1.42</v>
      </c>
      <c r="L73" s="198">
        <f>ROUND(K73/$G73*$C73,6)</f>
        <v>0.16666700000000001</v>
      </c>
      <c r="M73" s="206">
        <v>1.42</v>
      </c>
      <c r="N73" s="199">
        <f>ROUND(M73/$G73*$C73,6)</f>
        <v>0.16666700000000001</v>
      </c>
    </row>
    <row r="74" spans="2:14" x14ac:dyDescent="0.2">
      <c r="B74" s="152"/>
      <c r="C74" s="150"/>
      <c r="D74" s="150"/>
      <c r="E74" s="150"/>
      <c r="F74" s="150"/>
      <c r="G74" s="150"/>
      <c r="H74" s="198">
        <f>SUM(H66:H73)</f>
        <v>1.286294</v>
      </c>
      <c r="I74" s="150"/>
      <c r="J74" s="198">
        <f>ROUND(SUM(J66:J73),4)</f>
        <v>1</v>
      </c>
      <c r="K74" s="150"/>
      <c r="L74" s="198">
        <f>ROUND(SUM(L66:L73),4)</f>
        <v>1</v>
      </c>
      <c r="M74" s="150"/>
      <c r="N74" s="199">
        <f>ROUND(SUM(N66:N73),4)</f>
        <v>1</v>
      </c>
    </row>
    <row r="75" spans="2:14" ht="13.5" thickBot="1" x14ac:dyDescent="0.25">
      <c r="B75" s="163"/>
      <c r="C75" s="164"/>
      <c r="D75" s="164"/>
      <c r="E75" s="164"/>
      <c r="F75" s="164"/>
      <c r="G75" s="164"/>
      <c r="H75" s="272" t="s">
        <v>91</v>
      </c>
      <c r="I75" s="274"/>
      <c r="J75" s="272" t="s">
        <v>92</v>
      </c>
      <c r="K75" s="274"/>
      <c r="L75" s="272" t="s">
        <v>92</v>
      </c>
      <c r="M75" s="274"/>
      <c r="N75" s="273" t="s">
        <v>92</v>
      </c>
    </row>
    <row r="77" spans="2:14" x14ac:dyDescent="0.2">
      <c r="J77" s="127"/>
    </row>
  </sheetData>
  <mergeCells count="11">
    <mergeCell ref="B1:M1"/>
    <mergeCell ref="B60:E62"/>
    <mergeCell ref="D12:I12"/>
    <mergeCell ref="D4:H4"/>
    <mergeCell ref="D5:H5"/>
    <mergeCell ref="D6:H6"/>
    <mergeCell ref="D7:H7"/>
    <mergeCell ref="D8:H8"/>
    <mergeCell ref="D9:H9"/>
    <mergeCell ref="D10:H10"/>
    <mergeCell ref="D11:H1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1"/>
  <sheetViews>
    <sheetView showGridLines="0" zoomScale="80" zoomScaleNormal="80" workbookViewId="0">
      <selection activeCell="B1" sqref="B1:E1"/>
    </sheetView>
  </sheetViews>
  <sheetFormatPr baseColWidth="10" defaultRowHeight="12.75" x14ac:dyDescent="0.2"/>
  <cols>
    <col min="2" max="2" width="6.5703125" customWidth="1"/>
    <col min="3" max="3" width="65" customWidth="1"/>
    <col min="4" max="4" width="12.42578125" customWidth="1"/>
    <col min="5" max="5" width="11" customWidth="1"/>
    <col min="9" max="9" width="14.28515625" customWidth="1"/>
    <col min="12" max="12" width="52" customWidth="1"/>
    <col min="14" max="14" width="7.140625" style="63" customWidth="1"/>
    <col min="15" max="15" width="62" customWidth="1"/>
    <col min="16" max="16" width="11.42578125" style="63"/>
  </cols>
  <sheetData>
    <row r="1" spans="2:15" ht="18" x14ac:dyDescent="0.25">
      <c r="B1" s="339" t="s">
        <v>124</v>
      </c>
      <c r="C1" s="340"/>
      <c r="D1" s="340"/>
      <c r="E1" s="340"/>
    </row>
    <row r="2" spans="2:15" ht="13.5" thickBot="1" x14ac:dyDescent="0.25"/>
    <row r="3" spans="2:15" ht="42.75" x14ac:dyDescent="0.2">
      <c r="B3" s="10" t="s">
        <v>15</v>
      </c>
      <c r="C3" s="211" t="s">
        <v>10</v>
      </c>
      <c r="D3" s="211" t="s">
        <v>14</v>
      </c>
      <c r="E3" s="211" t="s">
        <v>7</v>
      </c>
      <c r="F3" s="11" t="s">
        <v>104</v>
      </c>
      <c r="G3" s="11" t="s">
        <v>103</v>
      </c>
      <c r="H3" s="11" t="s">
        <v>105</v>
      </c>
      <c r="I3" s="22"/>
      <c r="J3" s="22"/>
      <c r="K3" s="22"/>
      <c r="L3" s="22"/>
      <c r="M3" s="22"/>
    </row>
    <row r="4" spans="2:15" ht="7.5" customHeight="1" x14ac:dyDescent="0.2">
      <c r="B4" s="49"/>
      <c r="C4" s="23"/>
      <c r="D4" s="23"/>
      <c r="E4" s="23"/>
      <c r="F4" s="13"/>
      <c r="G4" s="231"/>
      <c r="H4" s="13"/>
      <c r="I4" s="15"/>
      <c r="J4" s="15"/>
      <c r="K4" s="15"/>
      <c r="L4" s="16"/>
      <c r="M4" s="16"/>
    </row>
    <row r="5" spans="2:15" ht="18.75" customHeight="1" x14ac:dyDescent="0.2">
      <c r="B5" s="49">
        <v>1</v>
      </c>
      <c r="C5" s="25" t="s">
        <v>6</v>
      </c>
      <c r="D5" s="84"/>
      <c r="E5" s="84"/>
      <c r="F5" s="37">
        <f>+'Oferta Ejemplo'!F5</f>
        <v>70</v>
      </c>
      <c r="G5" s="232">
        <f t="shared" ref="G5:G11" si="0">+J27</f>
        <v>1.0287999999999999</v>
      </c>
      <c r="H5" s="37">
        <f>ROUND(G5*F5,2)</f>
        <v>72.02</v>
      </c>
      <c r="I5" s="17"/>
      <c r="J5" s="236"/>
      <c r="K5" s="17"/>
      <c r="L5" s="18"/>
      <c r="M5" s="18"/>
    </row>
    <row r="6" spans="2:15" ht="18.75" customHeight="1" x14ac:dyDescent="0.2">
      <c r="B6" s="49">
        <v>2</v>
      </c>
      <c r="C6" s="25" t="s">
        <v>144</v>
      </c>
      <c r="D6" s="84"/>
      <c r="E6" s="84"/>
      <c r="F6" s="37">
        <f>+'Oferta Ejemplo'!F6</f>
        <v>6</v>
      </c>
      <c r="G6" s="233">
        <f t="shared" si="0"/>
        <v>1.0257000000000001</v>
      </c>
      <c r="H6" s="37">
        <f t="shared" ref="H6:H11" si="1">ROUND(G6*F6,2)</f>
        <v>6.15</v>
      </c>
      <c r="I6" s="17"/>
      <c r="J6" s="236"/>
      <c r="K6" s="17"/>
      <c r="L6" s="18"/>
      <c r="M6" s="18"/>
    </row>
    <row r="7" spans="2:15" ht="18.75" customHeight="1" x14ac:dyDescent="0.2">
      <c r="B7" s="49">
        <v>3</v>
      </c>
      <c r="C7" s="26" t="s">
        <v>4</v>
      </c>
      <c r="D7" s="85"/>
      <c r="E7" s="85"/>
      <c r="F7" s="37">
        <f>+'Oferta Ejemplo'!F7</f>
        <v>7</v>
      </c>
      <c r="G7" s="233">
        <f t="shared" si="0"/>
        <v>1.0251999999999999</v>
      </c>
      <c r="H7" s="37">
        <f t="shared" si="1"/>
        <v>7.18</v>
      </c>
      <c r="I7" s="17"/>
      <c r="J7" s="236"/>
      <c r="K7" s="17"/>
      <c r="L7" s="18"/>
      <c r="M7" s="18"/>
    </row>
    <row r="8" spans="2:15" ht="18.75" customHeight="1" x14ac:dyDescent="0.2">
      <c r="B8" s="49">
        <v>4</v>
      </c>
      <c r="C8" s="25" t="s">
        <v>3</v>
      </c>
      <c r="D8" s="84"/>
      <c r="E8" s="84"/>
      <c r="F8" s="37">
        <f>+'Oferta Ejemplo'!F8</f>
        <v>4</v>
      </c>
      <c r="G8" s="232">
        <f t="shared" si="0"/>
        <v>1.2863</v>
      </c>
      <c r="H8" s="37">
        <f t="shared" si="1"/>
        <v>5.15</v>
      </c>
      <c r="I8" s="17"/>
      <c r="J8" s="236"/>
      <c r="K8" s="17"/>
      <c r="L8" s="17"/>
      <c r="M8" s="18"/>
    </row>
    <row r="9" spans="2:15" ht="18.75" customHeight="1" x14ac:dyDescent="0.2">
      <c r="B9" s="49">
        <v>5</v>
      </c>
      <c r="C9" s="25" t="s">
        <v>2</v>
      </c>
      <c r="D9" s="84"/>
      <c r="E9" s="84"/>
      <c r="F9" s="37">
        <f>+'Oferta Ejemplo'!F9</f>
        <v>1</v>
      </c>
      <c r="G9" s="232">
        <f t="shared" si="0"/>
        <v>1.026</v>
      </c>
      <c r="H9" s="37">
        <f t="shared" si="1"/>
        <v>1.03</v>
      </c>
      <c r="I9" s="17"/>
      <c r="J9" s="236"/>
      <c r="K9" s="17"/>
      <c r="L9" s="18"/>
      <c r="M9" s="17"/>
    </row>
    <row r="10" spans="2:15" ht="18.75" customHeight="1" x14ac:dyDescent="0.2">
      <c r="B10" s="49">
        <v>6</v>
      </c>
      <c r="C10" s="25" t="s">
        <v>37</v>
      </c>
      <c r="D10" s="84"/>
      <c r="E10" s="84"/>
      <c r="F10" s="37">
        <f>+'Oferta Ejemplo'!F10</f>
        <v>2</v>
      </c>
      <c r="G10" s="232">
        <f t="shared" si="0"/>
        <v>1.0175000000000001</v>
      </c>
      <c r="H10" s="37">
        <f t="shared" si="1"/>
        <v>2.04</v>
      </c>
      <c r="I10" s="17"/>
      <c r="J10" s="236"/>
      <c r="K10" s="17"/>
      <c r="L10" s="18"/>
      <c r="M10" s="17"/>
    </row>
    <row r="11" spans="2:15" ht="18.75" customHeight="1" thickBot="1" x14ac:dyDescent="0.25">
      <c r="B11" s="49">
        <v>7</v>
      </c>
      <c r="C11" s="27" t="s">
        <v>0</v>
      </c>
      <c r="D11" s="86"/>
      <c r="E11" s="86"/>
      <c r="F11" s="38">
        <f>+'Oferta Ejemplo'!F11</f>
        <v>50</v>
      </c>
      <c r="G11" s="234">
        <f t="shared" si="0"/>
        <v>1.0267999999999999</v>
      </c>
      <c r="H11" s="38">
        <f t="shared" si="1"/>
        <v>51.34</v>
      </c>
      <c r="I11" s="17"/>
      <c r="J11" s="236"/>
      <c r="K11" s="17"/>
      <c r="L11" s="18"/>
      <c r="M11" s="18"/>
    </row>
    <row r="12" spans="2:15" ht="18.75" customHeight="1" thickBot="1" x14ac:dyDescent="0.25">
      <c r="B12" s="49">
        <v>8</v>
      </c>
      <c r="C12" s="28" t="s">
        <v>13</v>
      </c>
      <c r="D12" s="31" t="s">
        <v>96</v>
      </c>
      <c r="E12" s="35"/>
      <c r="F12" s="235">
        <f>SUM(F3:F11)</f>
        <v>140</v>
      </c>
      <c r="H12" s="33">
        <f>SUM(H3:H11)</f>
        <v>144.91000000000003</v>
      </c>
      <c r="I12" s="19"/>
      <c r="J12" s="236"/>
      <c r="K12" s="19"/>
      <c r="L12" s="19"/>
      <c r="M12" s="19"/>
    </row>
    <row r="13" spans="2:15" ht="18.75" customHeight="1" thickBot="1" x14ac:dyDescent="0.25">
      <c r="B13" s="49">
        <v>9</v>
      </c>
      <c r="C13" s="29" t="s">
        <v>145</v>
      </c>
      <c r="D13" s="32" t="s">
        <v>130</v>
      </c>
      <c r="E13" s="34">
        <v>0.05</v>
      </c>
      <c r="F13" s="30">
        <f>+E13*F12</f>
        <v>7</v>
      </c>
      <c r="H13" s="30">
        <f>ROUND(E13*H12,2)</f>
        <v>7.25</v>
      </c>
      <c r="I13" s="17"/>
      <c r="J13" s="236"/>
      <c r="K13" s="17"/>
      <c r="L13" s="18"/>
      <c r="M13" s="18"/>
    </row>
    <row r="14" spans="2:15" ht="18.75" customHeight="1" thickBot="1" x14ac:dyDescent="0.25">
      <c r="B14" s="49">
        <v>10</v>
      </c>
      <c r="C14" s="28" t="s">
        <v>38</v>
      </c>
      <c r="D14" s="31" t="s">
        <v>43</v>
      </c>
      <c r="E14" s="31"/>
      <c r="F14" s="235">
        <f>+F12+F13</f>
        <v>147</v>
      </c>
      <c r="H14" s="33">
        <f>+H12+H13</f>
        <v>152.16000000000003</v>
      </c>
      <c r="I14" s="19"/>
      <c r="J14" s="237"/>
      <c r="K14" s="19"/>
      <c r="L14" s="19"/>
      <c r="M14" s="19"/>
    </row>
    <row r="15" spans="2:15" ht="18.75" customHeight="1" thickBot="1" x14ac:dyDescent="0.25">
      <c r="B15" s="49">
        <v>11</v>
      </c>
      <c r="C15" s="29" t="s">
        <v>1</v>
      </c>
      <c r="D15" s="23" t="s">
        <v>131</v>
      </c>
      <c r="E15" s="36">
        <v>0.03</v>
      </c>
      <c r="F15" s="48">
        <f>+E15*F14</f>
        <v>4.41</v>
      </c>
      <c r="H15" s="48">
        <f>ROUND(E15*H14,2)</f>
        <v>4.5599999999999996</v>
      </c>
      <c r="I15" s="17"/>
      <c r="J15" s="236"/>
      <c r="K15" s="17"/>
      <c r="L15" s="18"/>
      <c r="M15" s="18"/>
    </row>
    <row r="16" spans="2:15" ht="18.75" customHeight="1" thickBot="1" x14ac:dyDescent="0.25">
      <c r="B16" s="50">
        <v>12</v>
      </c>
      <c r="C16" s="28" t="s">
        <v>148</v>
      </c>
      <c r="D16" s="31" t="s">
        <v>44</v>
      </c>
      <c r="E16" s="28"/>
      <c r="F16" s="235">
        <f>+F14+F15</f>
        <v>151.41</v>
      </c>
      <c r="H16" s="33">
        <f>+H14+H15</f>
        <v>156.72000000000003</v>
      </c>
      <c r="I16" s="239">
        <f>+H16/F16-1</f>
        <v>3.507033881513788E-2</v>
      </c>
      <c r="K16" s="20"/>
      <c r="L16" s="20"/>
      <c r="M16" s="20"/>
      <c r="O16" s="9">
        <f>SUM(I16:M16)</f>
        <v>3.507033881513788E-2</v>
      </c>
    </row>
    <row r="18" spans="2:17" x14ac:dyDescent="0.2">
      <c r="C18" s="21" t="s">
        <v>127</v>
      </c>
    </row>
    <row r="19" spans="2:17" x14ac:dyDescent="0.2">
      <c r="C19" s="21" t="s">
        <v>128</v>
      </c>
      <c r="H19" s="261"/>
    </row>
    <row r="20" spans="2:17" x14ac:dyDescent="0.2">
      <c r="C20" s="21" t="s">
        <v>129</v>
      </c>
    </row>
    <row r="21" spans="2:17" x14ac:dyDescent="0.2">
      <c r="C21" s="21"/>
    </row>
    <row r="22" spans="2:17" ht="15.75" x14ac:dyDescent="0.25">
      <c r="C22" s="89" t="s">
        <v>113</v>
      </c>
    </row>
    <row r="23" spans="2:17" ht="13.5" thickBot="1" x14ac:dyDescent="0.25"/>
    <row r="24" spans="2:17" ht="14.25" customHeight="1" thickBot="1" x14ac:dyDescent="0.25">
      <c r="B24" s="10" t="s">
        <v>15</v>
      </c>
      <c r="C24" s="10" t="s">
        <v>10</v>
      </c>
      <c r="D24" s="280" t="s">
        <v>8</v>
      </c>
      <c r="E24" s="281"/>
      <c r="F24" s="281"/>
      <c r="G24" s="281"/>
      <c r="H24" s="281"/>
      <c r="I24" s="282"/>
      <c r="J24" s="262" t="s">
        <v>57</v>
      </c>
    </row>
    <row r="25" spans="2:17" ht="31.5" x14ac:dyDescent="0.2">
      <c r="B25" s="56"/>
      <c r="C25" s="277"/>
      <c r="D25" s="91" t="s">
        <v>132</v>
      </c>
      <c r="E25" s="92" t="s">
        <v>133</v>
      </c>
      <c r="F25" s="92" t="s">
        <v>134</v>
      </c>
      <c r="G25" s="92" t="s">
        <v>135</v>
      </c>
      <c r="H25" s="92" t="s">
        <v>136</v>
      </c>
      <c r="I25" s="93" t="s">
        <v>137</v>
      </c>
      <c r="J25" s="263"/>
      <c r="N25"/>
      <c r="O25" s="63"/>
      <c r="P25"/>
      <c r="Q25" s="63"/>
    </row>
    <row r="26" spans="2:17" ht="14.25" x14ac:dyDescent="0.2">
      <c r="B26" s="57"/>
      <c r="C26" s="277"/>
      <c r="D26" s="210" t="s">
        <v>7</v>
      </c>
      <c r="E26" s="13" t="s">
        <v>7</v>
      </c>
      <c r="F26" s="13" t="s">
        <v>7</v>
      </c>
      <c r="G26" s="13" t="s">
        <v>7</v>
      </c>
      <c r="H26" s="13" t="s">
        <v>7</v>
      </c>
      <c r="I26" s="14" t="s">
        <v>7</v>
      </c>
      <c r="J26" s="92"/>
      <c r="N26"/>
      <c r="O26" s="63"/>
      <c r="P26"/>
      <c r="Q26" s="63"/>
    </row>
    <row r="27" spans="2:17" ht="22.5" customHeight="1" x14ac:dyDescent="0.2">
      <c r="B27" s="56">
        <v>1</v>
      </c>
      <c r="C27" s="4" t="s">
        <v>6</v>
      </c>
      <c r="D27" s="3">
        <f>+'Oferta Ejemplo'!D27</f>
        <v>0.8</v>
      </c>
      <c r="E27" s="2">
        <f>+'Oferta Ejemplo'!E27</f>
        <v>0.2</v>
      </c>
      <c r="F27" s="2">
        <f>+'Oferta Ejemplo'!F27</f>
        <v>0</v>
      </c>
      <c r="G27" s="276"/>
      <c r="H27" s="276"/>
      <c r="I27" s="1"/>
      <c r="J27" s="230">
        <f>ROUND(+D27*$F$49+E27*$F$50+F27*$F$51+G27*$F$52+H27*$F$53+I27*$F$54,4)</f>
        <v>1.0287999999999999</v>
      </c>
      <c r="M27" s="238"/>
      <c r="N27"/>
      <c r="O27" s="63"/>
      <c r="P27"/>
      <c r="Q27" s="63"/>
    </row>
    <row r="28" spans="2:17" ht="22.5" customHeight="1" x14ac:dyDescent="0.2">
      <c r="B28" s="56">
        <v>2</v>
      </c>
      <c r="C28" s="4" t="s">
        <v>5</v>
      </c>
      <c r="D28" s="3">
        <f>+'Oferta Ejemplo'!D28</f>
        <v>0.2</v>
      </c>
      <c r="E28" s="2">
        <f>+'Oferta Ejemplo'!E28</f>
        <v>0.2</v>
      </c>
      <c r="F28" s="2">
        <f>+'Oferta Ejemplo'!F28</f>
        <v>0.4</v>
      </c>
      <c r="G28" s="2">
        <f>+'Oferta Ejemplo'!G28</f>
        <v>0.2</v>
      </c>
      <c r="H28" s="2">
        <f>+'Oferta Ejemplo'!H28</f>
        <v>0</v>
      </c>
      <c r="I28" s="1"/>
      <c r="J28" s="230">
        <f t="shared" ref="J28:J33" si="2">ROUND(+D28*$F$49+E28*$F$50+F28*$F$51+G28*$F$52+H28*$F$53+I28*$F$54,4)</f>
        <v>1.0257000000000001</v>
      </c>
      <c r="M28" s="238"/>
      <c r="N28"/>
      <c r="O28" s="63"/>
      <c r="P28"/>
      <c r="Q28" s="63"/>
    </row>
    <row r="29" spans="2:17" ht="22.5" customHeight="1" x14ac:dyDescent="0.2">
      <c r="B29" s="56">
        <v>3</v>
      </c>
      <c r="C29" s="8" t="s">
        <v>4</v>
      </c>
      <c r="D29" s="3">
        <f>+'Oferta Ejemplo'!D29</f>
        <v>0.25</v>
      </c>
      <c r="E29" s="2">
        <f>+'Oferta Ejemplo'!E29</f>
        <v>0.25</v>
      </c>
      <c r="F29" s="2">
        <f>+'Oferta Ejemplo'!F29</f>
        <v>0.4</v>
      </c>
      <c r="G29" s="2">
        <f>+'Oferta Ejemplo'!G29</f>
        <v>0.1</v>
      </c>
      <c r="H29" s="2">
        <f>+'Oferta Ejemplo'!H29</f>
        <v>0</v>
      </c>
      <c r="I29" s="1"/>
      <c r="J29" s="230">
        <f t="shared" si="2"/>
        <v>1.0251999999999999</v>
      </c>
      <c r="M29" s="238"/>
      <c r="N29"/>
      <c r="O29" s="63"/>
      <c r="P29"/>
      <c r="Q29" s="63"/>
    </row>
    <row r="30" spans="2:17" ht="22.5" customHeight="1" x14ac:dyDescent="0.2">
      <c r="B30" s="56">
        <v>4</v>
      </c>
      <c r="C30" s="4" t="s">
        <v>3</v>
      </c>
      <c r="D30" s="7"/>
      <c r="E30" s="6"/>
      <c r="F30" s="6"/>
      <c r="G30" s="6"/>
      <c r="H30" s="6"/>
      <c r="I30" s="212">
        <f>+'Oferta Ejemplo'!I30</f>
        <v>1</v>
      </c>
      <c r="J30" s="230">
        <f t="shared" si="2"/>
        <v>1.2863</v>
      </c>
      <c r="M30" s="238"/>
      <c r="N30"/>
      <c r="O30" s="63"/>
      <c r="P30"/>
      <c r="Q30" s="63"/>
    </row>
    <row r="31" spans="2:17" ht="22.5" customHeight="1" x14ac:dyDescent="0.2">
      <c r="B31" s="56">
        <v>5</v>
      </c>
      <c r="C31" s="4" t="s">
        <v>2</v>
      </c>
      <c r="D31" s="7"/>
      <c r="E31" s="6"/>
      <c r="F31" s="6"/>
      <c r="G31" s="6"/>
      <c r="H31" s="212">
        <f>+'Oferta Ejemplo'!H31</f>
        <v>1</v>
      </c>
      <c r="I31" s="1"/>
      <c r="J31" s="230">
        <f t="shared" si="2"/>
        <v>1.026</v>
      </c>
      <c r="M31" s="238"/>
      <c r="N31"/>
      <c r="O31" s="63"/>
      <c r="P31"/>
      <c r="Q31" s="63"/>
    </row>
    <row r="32" spans="2:17" ht="22.5" customHeight="1" x14ac:dyDescent="0.2">
      <c r="B32" s="56">
        <v>6</v>
      </c>
      <c r="C32" s="4" t="s">
        <v>37</v>
      </c>
      <c r="D32" s="3">
        <f>+'Oferta Ejemplo'!D32</f>
        <v>0</v>
      </c>
      <c r="E32" s="2">
        <f>+'Oferta Ejemplo'!E32</f>
        <v>0.5</v>
      </c>
      <c r="F32" s="2">
        <f>+'Oferta Ejemplo'!F32</f>
        <v>0.5</v>
      </c>
      <c r="G32" s="2">
        <f>+'Oferta Ejemplo'!G32</f>
        <v>0</v>
      </c>
      <c r="H32" s="2">
        <f>+'Oferta Ejemplo'!H32</f>
        <v>0</v>
      </c>
      <c r="I32" s="1"/>
      <c r="J32" s="230">
        <f t="shared" si="2"/>
        <v>1.0175000000000001</v>
      </c>
      <c r="M32" s="238"/>
      <c r="N32"/>
      <c r="O32" s="63"/>
      <c r="P32"/>
      <c r="Q32" s="63"/>
    </row>
    <row r="33" spans="2:17" ht="22.5" customHeight="1" thickBot="1" x14ac:dyDescent="0.25">
      <c r="B33" s="58">
        <v>7</v>
      </c>
      <c r="C33" s="51" t="s">
        <v>0</v>
      </c>
      <c r="D33" s="52">
        <f>+'Oferta Ejemplo'!D33</f>
        <v>0.2</v>
      </c>
      <c r="E33" s="53">
        <f>+'Oferta Ejemplo'!E33</f>
        <v>0.15</v>
      </c>
      <c r="F33" s="53">
        <f>+'Oferta Ejemplo'!F33</f>
        <v>0.4</v>
      </c>
      <c r="G33" s="53">
        <f>+'Oferta Ejemplo'!G33</f>
        <v>0.25</v>
      </c>
      <c r="H33" s="94">
        <f>+'Oferta Ejemplo'!H33</f>
        <v>0</v>
      </c>
      <c r="I33" s="54"/>
      <c r="J33" s="230">
        <f t="shared" si="2"/>
        <v>1.0267999999999999</v>
      </c>
      <c r="M33" s="238"/>
      <c r="N33"/>
      <c r="O33" s="63"/>
      <c r="P33"/>
      <c r="Q33" s="63"/>
    </row>
    <row r="34" spans="2:17" ht="23.25" customHeight="1" x14ac:dyDescent="0.2"/>
    <row r="35" spans="2:17" x14ac:dyDescent="0.2">
      <c r="C35" s="336" t="s">
        <v>138</v>
      </c>
      <c r="D35" s="336"/>
      <c r="E35" s="336"/>
      <c r="F35" s="336"/>
      <c r="G35" s="336"/>
      <c r="H35" s="336"/>
      <c r="I35" s="336"/>
    </row>
    <row r="36" spans="2:17" x14ac:dyDescent="0.2">
      <c r="C36" s="278" t="s">
        <v>139</v>
      </c>
      <c r="D36" s="278"/>
      <c r="E36" s="278"/>
      <c r="F36" s="278"/>
      <c r="G36" s="278"/>
      <c r="H36" s="278"/>
      <c r="I36" s="278"/>
    </row>
    <row r="37" spans="2:17" x14ac:dyDescent="0.2">
      <c r="C37" s="337" t="s">
        <v>140</v>
      </c>
      <c r="D37" s="337"/>
      <c r="E37" s="337"/>
      <c r="F37" s="337"/>
      <c r="G37" s="337"/>
      <c r="H37" s="337"/>
      <c r="I37" s="337"/>
    </row>
    <row r="38" spans="2:17" x14ac:dyDescent="0.2">
      <c r="C38" s="337"/>
      <c r="D38" s="337"/>
      <c r="E38" s="337"/>
      <c r="F38" s="337"/>
      <c r="G38" s="337"/>
      <c r="H38" s="337"/>
      <c r="I38" s="337"/>
    </row>
    <row r="39" spans="2:17" ht="28.5" customHeight="1" x14ac:dyDescent="0.35">
      <c r="C39" s="279" t="s">
        <v>141</v>
      </c>
      <c r="D39" s="279"/>
      <c r="E39" s="279"/>
      <c r="F39" s="279"/>
      <c r="G39" s="279"/>
      <c r="H39" s="279"/>
      <c r="I39" s="279"/>
      <c r="J39" s="60"/>
      <c r="K39" s="61"/>
      <c r="L39" s="62"/>
      <c r="M39" s="61"/>
    </row>
    <row r="40" spans="2:17" ht="18" customHeight="1" x14ac:dyDescent="0.35">
      <c r="C40" s="279" t="s">
        <v>142</v>
      </c>
      <c r="D40" s="279"/>
      <c r="E40" s="279"/>
      <c r="F40" s="279"/>
      <c r="G40" s="279"/>
      <c r="H40" s="279"/>
      <c r="I40" s="279"/>
      <c r="J40" s="60"/>
      <c r="K40" s="61"/>
      <c r="L40" s="62"/>
      <c r="M40" s="61"/>
    </row>
    <row r="41" spans="2:17" ht="31.5" customHeight="1" x14ac:dyDescent="0.35">
      <c r="C41" s="279" t="s">
        <v>143</v>
      </c>
      <c r="D41" s="279"/>
      <c r="E41" s="279"/>
      <c r="F41" s="279"/>
      <c r="G41" s="279"/>
      <c r="H41" s="279"/>
      <c r="I41" s="279"/>
      <c r="J41" s="60"/>
      <c r="K41" s="61"/>
      <c r="L41" s="62"/>
      <c r="M41" s="61"/>
    </row>
    <row r="42" spans="2:17" ht="15" x14ac:dyDescent="0.2">
      <c r="M42" s="61"/>
    </row>
    <row r="43" spans="2:17" ht="15" x14ac:dyDescent="0.2">
      <c r="C43" s="215" t="s">
        <v>106</v>
      </c>
      <c r="M43" s="61"/>
    </row>
    <row r="44" spans="2:17" ht="15" x14ac:dyDescent="0.2">
      <c r="C44" s="215" t="s">
        <v>107</v>
      </c>
      <c r="M44" s="61"/>
    </row>
    <row r="45" spans="2:17" ht="15" x14ac:dyDescent="0.2">
      <c r="C45" s="215" t="s">
        <v>88</v>
      </c>
      <c r="M45" s="61"/>
    </row>
    <row r="46" spans="2:17" ht="15.75" x14ac:dyDescent="0.3">
      <c r="L46" s="21"/>
      <c r="M46" s="60"/>
    </row>
    <row r="47" spans="2:17" ht="14.25" customHeight="1" x14ac:dyDescent="0.2">
      <c r="C47" s="213" t="s">
        <v>99</v>
      </c>
      <c r="L47" s="21"/>
      <c r="M47" s="21"/>
    </row>
    <row r="48" spans="2:17" x14ac:dyDescent="0.2">
      <c r="C48" s="222"/>
      <c r="D48" s="223">
        <v>43101</v>
      </c>
      <c r="E48" s="223">
        <v>43132</v>
      </c>
      <c r="F48" s="224" t="s">
        <v>101</v>
      </c>
      <c r="L48" s="21"/>
      <c r="M48" s="21"/>
    </row>
    <row r="49" spans="3:13" x14ac:dyDescent="0.2">
      <c r="C49" s="227" t="s">
        <v>100</v>
      </c>
      <c r="D49" s="226">
        <f>+'Calculo del Disparador'!I5</f>
        <v>1</v>
      </c>
      <c r="E49" s="226">
        <f>+'Calculo del Disparador'!J5</f>
        <v>1.036</v>
      </c>
      <c r="F49" s="226">
        <f t="shared" ref="F49:F54" si="3">+E49/D49</f>
        <v>1.036</v>
      </c>
      <c r="L49" s="21"/>
      <c r="M49" s="21"/>
    </row>
    <row r="50" spans="3:13" x14ac:dyDescent="0.2">
      <c r="C50" s="227" t="s">
        <v>102</v>
      </c>
      <c r="D50" s="226">
        <f>+'Calculo del Disparador'!I6</f>
        <v>1</v>
      </c>
      <c r="E50" s="226">
        <f>+'Calculo del Disparador'!J6</f>
        <v>1</v>
      </c>
      <c r="F50" s="226">
        <f t="shared" si="3"/>
        <v>1</v>
      </c>
      <c r="L50" s="21"/>
      <c r="M50" s="21"/>
    </row>
    <row r="51" spans="3:13" x14ac:dyDescent="0.2">
      <c r="C51" s="227" t="s">
        <v>110</v>
      </c>
      <c r="D51" s="226">
        <v>1</v>
      </c>
      <c r="E51" s="226">
        <f>+'Calculo del Disparador'!J7</f>
        <v>1.0348999999999999</v>
      </c>
      <c r="F51" s="226">
        <f t="shared" si="3"/>
        <v>1.0348999999999999</v>
      </c>
      <c r="L51" s="21"/>
      <c r="M51" s="21"/>
    </row>
    <row r="52" spans="3:13" x14ac:dyDescent="0.2">
      <c r="C52" s="227" t="s">
        <v>125</v>
      </c>
      <c r="D52" s="226">
        <v>1</v>
      </c>
      <c r="E52" s="226">
        <f>+F58</f>
        <v>1.0226130653266332</v>
      </c>
      <c r="F52" s="226">
        <f t="shared" si="3"/>
        <v>1.0226130653266332</v>
      </c>
      <c r="L52" s="21"/>
      <c r="M52" s="21"/>
    </row>
    <row r="53" spans="3:13" x14ac:dyDescent="0.2">
      <c r="C53" s="227" t="s">
        <v>111</v>
      </c>
      <c r="D53" s="226">
        <v>1</v>
      </c>
      <c r="E53" s="226">
        <f>+F62</f>
        <v>1.026</v>
      </c>
      <c r="F53" s="226">
        <f t="shared" si="3"/>
        <v>1.026</v>
      </c>
      <c r="L53" s="21"/>
      <c r="M53" s="21"/>
    </row>
    <row r="54" spans="3:13" x14ac:dyDescent="0.2">
      <c r="C54" s="227" t="s">
        <v>112</v>
      </c>
      <c r="D54" s="226">
        <v>1</v>
      </c>
      <c r="E54" s="226">
        <f>+'Calculo del Disparador'!J8</f>
        <v>1.2863</v>
      </c>
      <c r="F54" s="226">
        <f t="shared" si="3"/>
        <v>1.2863</v>
      </c>
      <c r="L54" s="21"/>
      <c r="M54" s="21"/>
    </row>
    <row r="55" spans="3:13" x14ac:dyDescent="0.2">
      <c r="C55" s="228"/>
      <c r="D55" s="229"/>
      <c r="E55" s="229"/>
      <c r="F55" s="229"/>
      <c r="L55" s="21"/>
      <c r="M55" s="21"/>
    </row>
    <row r="56" spans="3:13" x14ac:dyDescent="0.2">
      <c r="C56" s="225" t="s">
        <v>125</v>
      </c>
      <c r="D56" s="218"/>
      <c r="E56" s="218"/>
      <c r="L56" s="21"/>
      <c r="M56" s="21"/>
    </row>
    <row r="57" spans="3:13" x14ac:dyDescent="0.2">
      <c r="C57" s="216" t="s">
        <v>126</v>
      </c>
      <c r="D57" s="254">
        <v>19.899999999999999</v>
      </c>
      <c r="E57" s="254">
        <v>20.350000000000001</v>
      </c>
      <c r="L57" s="21"/>
      <c r="M57" s="21"/>
    </row>
    <row r="58" spans="3:13" x14ac:dyDescent="0.2">
      <c r="C58" s="219" t="s">
        <v>87</v>
      </c>
      <c r="D58" s="220">
        <v>100</v>
      </c>
      <c r="E58" s="220">
        <f>+E57/D57*100</f>
        <v>102.26130653266333</v>
      </c>
      <c r="F58" s="221">
        <f>+E58/D58</f>
        <v>1.0226130653266332</v>
      </c>
      <c r="L58" s="21"/>
      <c r="M58" s="21"/>
    </row>
    <row r="59" spans="3:13" x14ac:dyDescent="0.2">
      <c r="D59" s="218"/>
      <c r="E59" s="218"/>
      <c r="L59" s="21"/>
      <c r="M59" s="21"/>
    </row>
    <row r="60" spans="3:13" x14ac:dyDescent="0.2">
      <c r="C60" s="225" t="s">
        <v>111</v>
      </c>
      <c r="D60" s="218"/>
      <c r="E60" s="218"/>
      <c r="L60" s="21"/>
      <c r="M60" s="21"/>
    </row>
    <row r="61" spans="3:13" x14ac:dyDescent="0.2">
      <c r="C61" s="216" t="s">
        <v>103</v>
      </c>
      <c r="D61" s="82"/>
      <c r="E61" s="217">
        <v>2.5999999999999999E-2</v>
      </c>
      <c r="L61" s="21"/>
      <c r="M61" s="21"/>
    </row>
    <row r="62" spans="3:13" x14ac:dyDescent="0.2">
      <c r="C62" s="219" t="s">
        <v>87</v>
      </c>
      <c r="D62" s="220">
        <v>100</v>
      </c>
      <c r="E62" s="220">
        <f>+D62*(1+E61)</f>
        <v>102.60000000000001</v>
      </c>
      <c r="F62" s="221">
        <f>+E62/D62</f>
        <v>1.026</v>
      </c>
      <c r="L62" s="21"/>
      <c r="M62" s="21"/>
    </row>
    <row r="63" spans="3:13" x14ac:dyDescent="0.2">
      <c r="D63" s="218"/>
      <c r="E63" s="218"/>
      <c r="L63" s="21"/>
      <c r="M63" s="21"/>
    </row>
    <row r="64" spans="3:13" x14ac:dyDescent="0.2">
      <c r="D64" s="218"/>
      <c r="E64" s="218"/>
      <c r="L64" s="21"/>
      <c r="M64" s="21"/>
    </row>
    <row r="65" spans="3:13" x14ac:dyDescent="0.2">
      <c r="D65" s="218"/>
      <c r="E65" s="218"/>
      <c r="L65" s="21"/>
      <c r="M65" s="21"/>
    </row>
    <row r="66" spans="3:13" x14ac:dyDescent="0.2">
      <c r="D66" s="218"/>
      <c r="E66" s="218"/>
      <c r="L66" s="21"/>
      <c r="M66" s="21"/>
    </row>
    <row r="67" spans="3:13" x14ac:dyDescent="0.2">
      <c r="D67" s="218"/>
      <c r="E67" s="218"/>
      <c r="L67" s="21"/>
      <c r="M67" s="21"/>
    </row>
    <row r="68" spans="3:13" x14ac:dyDescent="0.2">
      <c r="D68" s="218"/>
      <c r="E68" s="218"/>
      <c r="L68" s="21"/>
      <c r="M68" s="21"/>
    </row>
    <row r="69" spans="3:13" x14ac:dyDescent="0.2">
      <c r="D69" s="218"/>
      <c r="E69" s="218"/>
      <c r="L69" s="21"/>
      <c r="M69" s="21"/>
    </row>
    <row r="70" spans="3:13" x14ac:dyDescent="0.2">
      <c r="C70" s="213"/>
      <c r="D70" s="218"/>
      <c r="E70" s="218"/>
      <c r="L70" s="21"/>
      <c r="M70" s="21"/>
    </row>
    <row r="71" spans="3:13" x14ac:dyDescent="0.2">
      <c r="C71" s="213"/>
      <c r="D71" s="218"/>
      <c r="E71" s="218"/>
      <c r="L71" s="21"/>
      <c r="M71" s="21"/>
    </row>
    <row r="72" spans="3:13" x14ac:dyDescent="0.2">
      <c r="L72" s="21"/>
      <c r="M72" s="21"/>
    </row>
    <row r="73" spans="3:13" x14ac:dyDescent="0.2">
      <c r="L73" s="21"/>
      <c r="M73" s="21"/>
    </row>
    <row r="74" spans="3:13" x14ac:dyDescent="0.2">
      <c r="L74" s="21"/>
      <c r="M74" s="21"/>
    </row>
    <row r="75" spans="3:13" x14ac:dyDescent="0.2">
      <c r="L75" s="21"/>
    </row>
    <row r="77" spans="3:13" x14ac:dyDescent="0.2">
      <c r="C77" s="213"/>
      <c r="D77" s="214"/>
      <c r="E77" s="214"/>
      <c r="F77" s="214"/>
    </row>
    <row r="78" spans="3:13" x14ac:dyDescent="0.2">
      <c r="C78" s="213"/>
      <c r="D78" s="214"/>
      <c r="E78" s="214"/>
      <c r="F78" s="214"/>
    </row>
    <row r="79" spans="3:13" x14ac:dyDescent="0.2">
      <c r="C79" s="213"/>
      <c r="D79" s="214"/>
      <c r="E79" s="214"/>
      <c r="F79" s="214"/>
    </row>
    <row r="80" spans="3:13" x14ac:dyDescent="0.2">
      <c r="C80" s="213"/>
      <c r="D80" s="214"/>
      <c r="E80" s="214"/>
      <c r="F80" s="214"/>
    </row>
    <row r="81" spans="3:3" x14ac:dyDescent="0.2">
      <c r="C81" s="213"/>
    </row>
  </sheetData>
  <mergeCells count="8">
    <mergeCell ref="D24:I24"/>
    <mergeCell ref="C25:C26"/>
    <mergeCell ref="C35:I35"/>
    <mergeCell ref="C36:I36"/>
    <mergeCell ref="C37:I38"/>
    <mergeCell ref="C39:I39"/>
    <mergeCell ref="C40:I40"/>
    <mergeCell ref="C41:I41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2"/>
  <sheetViews>
    <sheetView showGridLines="0" zoomScale="80" zoomScaleNormal="80" workbookViewId="0">
      <selection activeCell="B1" sqref="B1:E1"/>
    </sheetView>
  </sheetViews>
  <sheetFormatPr baseColWidth="10" defaultRowHeight="12.75" x14ac:dyDescent="0.2"/>
  <cols>
    <col min="2" max="2" width="6.5703125" customWidth="1"/>
    <col min="3" max="3" width="65" customWidth="1"/>
    <col min="4" max="4" width="12.42578125" customWidth="1"/>
    <col min="5" max="5" width="11" customWidth="1"/>
    <col min="6" max="7" width="13" bestFit="1" customWidth="1"/>
    <col min="9" max="9" width="14.28515625" customWidth="1"/>
    <col min="12" max="12" width="52" customWidth="1"/>
    <col min="14" max="14" width="7.140625" style="63" customWidth="1"/>
    <col min="15" max="15" width="62" customWidth="1"/>
    <col min="16" max="16" width="11.42578125" style="63"/>
  </cols>
  <sheetData>
    <row r="1" spans="2:15" ht="18" x14ac:dyDescent="0.25">
      <c r="B1" s="339" t="s">
        <v>123</v>
      </c>
      <c r="C1" s="340"/>
      <c r="D1" s="340"/>
      <c r="E1" s="340"/>
    </row>
    <row r="2" spans="2:15" ht="13.5" thickBot="1" x14ac:dyDescent="0.25"/>
    <row r="3" spans="2:15" ht="42.75" x14ac:dyDescent="0.2">
      <c r="B3" s="10" t="s">
        <v>15</v>
      </c>
      <c r="C3" s="211" t="s">
        <v>10</v>
      </c>
      <c r="D3" s="211" t="s">
        <v>14</v>
      </c>
      <c r="E3" s="211" t="s">
        <v>7</v>
      </c>
      <c r="F3" s="11" t="s">
        <v>114</v>
      </c>
      <c r="G3" s="11" t="s">
        <v>103</v>
      </c>
      <c r="H3" s="11" t="s">
        <v>115</v>
      </c>
      <c r="I3" s="22"/>
      <c r="J3" s="22"/>
      <c r="K3" s="22"/>
      <c r="L3" s="22"/>
      <c r="M3" s="22"/>
    </row>
    <row r="4" spans="2:15" ht="7.5" customHeight="1" x14ac:dyDescent="0.2">
      <c r="B4" s="49"/>
      <c r="C4" s="23"/>
      <c r="D4" s="23"/>
      <c r="E4" s="23"/>
      <c r="F4" s="13"/>
      <c r="G4" s="231"/>
      <c r="H4" s="13"/>
      <c r="I4" s="15"/>
      <c r="J4" s="15"/>
      <c r="K4" s="15"/>
      <c r="L4" s="16"/>
      <c r="M4" s="16"/>
    </row>
    <row r="5" spans="2:15" ht="18.75" customHeight="1" x14ac:dyDescent="0.2">
      <c r="B5" s="49">
        <v>1</v>
      </c>
      <c r="C5" s="25" t="s">
        <v>6</v>
      </c>
      <c r="D5" s="84"/>
      <c r="E5" s="84"/>
      <c r="F5" s="37">
        <f>+'REDET DEF FEB18'!H5</f>
        <v>72.02</v>
      </c>
      <c r="G5" s="232">
        <f t="shared" ref="G5:G11" si="0">+J27</f>
        <v>1.0456000000000001</v>
      </c>
      <c r="H5" s="37">
        <f>ROUND(G5*F5,2)</f>
        <v>75.3</v>
      </c>
      <c r="I5" s="17"/>
      <c r="J5" s="236"/>
      <c r="K5" s="17"/>
      <c r="L5" s="18"/>
      <c r="M5" s="18"/>
    </row>
    <row r="6" spans="2:15" ht="18.75" customHeight="1" x14ac:dyDescent="0.2">
      <c r="B6" s="49">
        <v>2</v>
      </c>
      <c r="C6" s="25" t="s">
        <v>144</v>
      </c>
      <c r="D6" s="84"/>
      <c r="E6" s="84"/>
      <c r="F6" s="37">
        <f>+'REDET DEF FEB18'!H6</f>
        <v>6.15</v>
      </c>
      <c r="G6" s="233">
        <f t="shared" si="0"/>
        <v>1.0871</v>
      </c>
      <c r="H6" s="37">
        <f t="shared" ref="H6:H11" si="1">ROUND(G6*F6,2)</f>
        <v>6.69</v>
      </c>
      <c r="I6" s="17"/>
      <c r="J6" s="236"/>
      <c r="K6" s="17"/>
      <c r="L6" s="18"/>
      <c r="M6" s="18"/>
    </row>
    <row r="7" spans="2:15" ht="18.75" customHeight="1" x14ac:dyDescent="0.2">
      <c r="B7" s="49">
        <v>3</v>
      </c>
      <c r="C7" s="26" t="s">
        <v>4</v>
      </c>
      <c r="D7" s="85"/>
      <c r="E7" s="85"/>
      <c r="F7" s="37">
        <f>+'REDET DEF FEB18'!H7</f>
        <v>7.18</v>
      </c>
      <c r="G7" s="233">
        <f t="shared" si="0"/>
        <v>1.0653999999999999</v>
      </c>
      <c r="H7" s="37">
        <f t="shared" si="1"/>
        <v>7.65</v>
      </c>
      <c r="I7" s="17"/>
      <c r="J7" s="236"/>
      <c r="K7" s="17"/>
      <c r="L7" s="18"/>
      <c r="M7" s="18"/>
    </row>
    <row r="8" spans="2:15" ht="18.75" customHeight="1" x14ac:dyDescent="0.2">
      <c r="B8" s="49">
        <v>4</v>
      </c>
      <c r="C8" s="25" t="s">
        <v>3</v>
      </c>
      <c r="D8" s="84"/>
      <c r="E8" s="84"/>
      <c r="F8" s="37">
        <f>+'REDET DEF FEB18'!H8</f>
        <v>5.15</v>
      </c>
      <c r="G8" s="233">
        <f t="shared" si="0"/>
        <v>1</v>
      </c>
      <c r="H8" s="37">
        <f t="shared" si="1"/>
        <v>5.15</v>
      </c>
      <c r="I8" s="17"/>
      <c r="J8" s="236"/>
      <c r="K8" s="17"/>
      <c r="L8" s="17"/>
      <c r="M8" s="18"/>
    </row>
    <row r="9" spans="2:15" ht="18.75" customHeight="1" x14ac:dyDescent="0.2">
      <c r="B9" s="49">
        <v>5</v>
      </c>
      <c r="C9" s="25" t="s">
        <v>2</v>
      </c>
      <c r="D9" s="84"/>
      <c r="E9" s="84"/>
      <c r="F9" s="37">
        <f>+'REDET DEF FEB18'!H9</f>
        <v>1.03</v>
      </c>
      <c r="G9" s="232">
        <f t="shared" si="0"/>
        <v>1.0694999999999999</v>
      </c>
      <c r="H9" s="37">
        <f t="shared" si="1"/>
        <v>1.1000000000000001</v>
      </c>
      <c r="I9" s="17"/>
      <c r="J9" s="236"/>
      <c r="K9" s="17"/>
      <c r="L9" s="18"/>
      <c r="M9" s="17"/>
    </row>
    <row r="10" spans="2:15" ht="18.75" customHeight="1" x14ac:dyDescent="0.2">
      <c r="B10" s="49">
        <v>6</v>
      </c>
      <c r="C10" s="25" t="s">
        <v>37</v>
      </c>
      <c r="D10" s="84"/>
      <c r="E10" s="84"/>
      <c r="F10" s="37">
        <f>+'REDET DEF FEB18'!H10</f>
        <v>2.04</v>
      </c>
      <c r="G10" s="232">
        <f t="shared" si="0"/>
        <v>1.0334000000000001</v>
      </c>
      <c r="H10" s="37">
        <f t="shared" si="1"/>
        <v>2.11</v>
      </c>
      <c r="I10" s="17"/>
      <c r="J10" s="236"/>
      <c r="K10" s="17"/>
      <c r="L10" s="18"/>
      <c r="M10" s="17"/>
    </row>
    <row r="11" spans="2:15" ht="18.75" customHeight="1" thickBot="1" x14ac:dyDescent="0.25">
      <c r="B11" s="49">
        <v>7</v>
      </c>
      <c r="C11" s="27" t="s">
        <v>0</v>
      </c>
      <c r="D11" s="86"/>
      <c r="E11" s="86"/>
      <c r="F11" s="38">
        <f>+'REDET DEF FEB18'!H11</f>
        <v>51.34</v>
      </c>
      <c r="G11" s="234">
        <f t="shared" si="0"/>
        <v>1.0992999999999999</v>
      </c>
      <c r="H11" s="38">
        <f t="shared" si="1"/>
        <v>56.44</v>
      </c>
      <c r="I11" s="17"/>
      <c r="J11" s="236"/>
      <c r="K11" s="17"/>
      <c r="L11" s="18"/>
      <c r="M11" s="18"/>
    </row>
    <row r="12" spans="2:15" ht="18.75" customHeight="1" thickBot="1" x14ac:dyDescent="0.25">
      <c r="B12" s="49">
        <v>8</v>
      </c>
      <c r="C12" s="28" t="s">
        <v>13</v>
      </c>
      <c r="D12" s="31" t="s">
        <v>96</v>
      </c>
      <c r="E12" s="35"/>
      <c r="F12" s="235">
        <f>SUM(F3:F11)</f>
        <v>144.91000000000003</v>
      </c>
      <c r="H12" s="33">
        <f>SUM(H3:H11)</f>
        <v>154.44</v>
      </c>
      <c r="I12" s="19"/>
      <c r="J12" s="236"/>
      <c r="K12" s="19"/>
      <c r="L12" s="19"/>
      <c r="M12" s="19"/>
    </row>
    <row r="13" spans="2:15" ht="18.75" customHeight="1" thickBot="1" x14ac:dyDescent="0.25">
      <c r="B13" s="49">
        <v>9</v>
      </c>
      <c r="C13" s="29" t="s">
        <v>145</v>
      </c>
      <c r="D13" s="32" t="s">
        <v>130</v>
      </c>
      <c r="E13" s="34">
        <v>0.05</v>
      </c>
      <c r="F13" s="30">
        <f>+E13*F12</f>
        <v>7.2455000000000016</v>
      </c>
      <c r="H13" s="30">
        <f>ROUND(E13*H12,2)</f>
        <v>7.72</v>
      </c>
      <c r="I13" s="17"/>
      <c r="J13" s="236"/>
      <c r="K13" s="17"/>
      <c r="L13" s="18"/>
      <c r="M13" s="18"/>
    </row>
    <row r="14" spans="2:15" ht="18.75" customHeight="1" thickBot="1" x14ac:dyDescent="0.25">
      <c r="B14" s="49">
        <v>10</v>
      </c>
      <c r="C14" s="28" t="s">
        <v>38</v>
      </c>
      <c r="D14" s="31" t="s">
        <v>43</v>
      </c>
      <c r="E14" s="31"/>
      <c r="F14" s="235">
        <f>+F12+F13</f>
        <v>152.15550000000002</v>
      </c>
      <c r="H14" s="33">
        <f>+H12+H13</f>
        <v>162.16</v>
      </c>
      <c r="I14" s="19"/>
      <c r="J14" s="237"/>
      <c r="K14" s="19"/>
      <c r="L14" s="19"/>
      <c r="M14" s="19"/>
    </row>
    <row r="15" spans="2:15" ht="18.75" customHeight="1" thickBot="1" x14ac:dyDescent="0.25">
      <c r="B15" s="49">
        <v>11</v>
      </c>
      <c r="C15" s="29" t="s">
        <v>1</v>
      </c>
      <c r="D15" s="23" t="s">
        <v>131</v>
      </c>
      <c r="E15" s="36">
        <v>0.03</v>
      </c>
      <c r="F15" s="48">
        <f>+E15*F14</f>
        <v>4.5646650000000006</v>
      </c>
      <c r="H15" s="48">
        <f>ROUND(E15*H14,2)</f>
        <v>4.8600000000000003</v>
      </c>
      <c r="I15" s="17"/>
      <c r="J15" s="236"/>
      <c r="K15" s="17"/>
      <c r="L15" s="18"/>
      <c r="M15" s="18"/>
    </row>
    <row r="16" spans="2:15" ht="18.75" customHeight="1" thickBot="1" x14ac:dyDescent="0.25">
      <c r="B16" s="50">
        <v>12</v>
      </c>
      <c r="C16" s="28" t="s">
        <v>147</v>
      </c>
      <c r="D16" s="31" t="s">
        <v>44</v>
      </c>
      <c r="E16" s="28"/>
      <c r="F16" s="235">
        <f>+F14+F15</f>
        <v>156.72016500000001</v>
      </c>
      <c r="H16" s="33">
        <f>+H14+H15</f>
        <v>167.02</v>
      </c>
      <c r="I16" s="239">
        <f>+H16/F16-1</f>
        <v>6.5721185273126759E-2</v>
      </c>
      <c r="K16" s="20"/>
      <c r="L16" s="20"/>
      <c r="M16" s="20"/>
      <c r="O16" s="9">
        <f>SUM(I16:M16)</f>
        <v>6.5721185273126759E-2</v>
      </c>
    </row>
    <row r="18" spans="2:17" x14ac:dyDescent="0.2">
      <c r="C18" s="21" t="s">
        <v>127</v>
      </c>
    </row>
    <row r="19" spans="2:17" x14ac:dyDescent="0.2">
      <c r="C19" s="21" t="s">
        <v>128</v>
      </c>
    </row>
    <row r="20" spans="2:17" x14ac:dyDescent="0.2">
      <c r="C20" s="21" t="s">
        <v>129</v>
      </c>
    </row>
    <row r="21" spans="2:17" x14ac:dyDescent="0.2">
      <c r="C21" s="21"/>
    </row>
    <row r="22" spans="2:17" ht="15.75" x14ac:dyDescent="0.25">
      <c r="C22" s="89" t="s">
        <v>113</v>
      </c>
    </row>
    <row r="23" spans="2:17" ht="13.5" thickBot="1" x14ac:dyDescent="0.25"/>
    <row r="24" spans="2:17" ht="14.25" customHeight="1" thickBot="1" x14ac:dyDescent="0.25">
      <c r="B24" s="10" t="s">
        <v>15</v>
      </c>
      <c r="C24" s="10" t="s">
        <v>10</v>
      </c>
      <c r="D24" s="280" t="s">
        <v>8</v>
      </c>
      <c r="E24" s="281"/>
      <c r="F24" s="281"/>
      <c r="G24" s="281"/>
      <c r="H24" s="281"/>
      <c r="I24" s="282"/>
      <c r="J24" s="262" t="s">
        <v>57</v>
      </c>
    </row>
    <row r="25" spans="2:17" ht="31.5" x14ac:dyDescent="0.2">
      <c r="B25" s="56"/>
      <c r="C25" s="277"/>
      <c r="D25" s="91" t="s">
        <v>132</v>
      </c>
      <c r="E25" s="92" t="s">
        <v>133</v>
      </c>
      <c r="F25" s="92" t="s">
        <v>134</v>
      </c>
      <c r="G25" s="92" t="s">
        <v>135</v>
      </c>
      <c r="H25" s="92" t="s">
        <v>136</v>
      </c>
      <c r="I25" s="93" t="s">
        <v>137</v>
      </c>
      <c r="J25" s="263"/>
      <c r="N25"/>
      <c r="O25" s="63"/>
      <c r="P25"/>
      <c r="Q25" s="63"/>
    </row>
    <row r="26" spans="2:17" ht="14.25" x14ac:dyDescent="0.2">
      <c r="B26" s="57"/>
      <c r="C26" s="277"/>
      <c r="D26" s="210" t="s">
        <v>7</v>
      </c>
      <c r="E26" s="13" t="s">
        <v>7</v>
      </c>
      <c r="F26" s="13" t="s">
        <v>7</v>
      </c>
      <c r="G26" s="13" t="s">
        <v>7</v>
      </c>
      <c r="H26" s="13" t="s">
        <v>7</v>
      </c>
      <c r="I26" s="14" t="s">
        <v>7</v>
      </c>
      <c r="J26" s="92"/>
      <c r="N26"/>
      <c r="O26" s="63"/>
      <c r="P26"/>
      <c r="Q26" s="63"/>
    </row>
    <row r="27" spans="2:17" ht="22.5" customHeight="1" x14ac:dyDescent="0.2">
      <c r="B27" s="56">
        <v>1</v>
      </c>
      <c r="C27" s="4" t="s">
        <v>6</v>
      </c>
      <c r="D27" s="3">
        <f>+'Oferta Ejemplo'!D27</f>
        <v>0.8</v>
      </c>
      <c r="E27" s="2">
        <f>+'Oferta Ejemplo'!E27</f>
        <v>0.2</v>
      </c>
      <c r="F27" s="2">
        <f>+'Oferta Ejemplo'!F27</f>
        <v>0</v>
      </c>
      <c r="G27" s="276"/>
      <c r="H27" s="276"/>
      <c r="I27" s="1"/>
      <c r="J27" s="230">
        <f>ROUND(+D27*$F$49+E27*$F$50+F27*$F$51+G27*$F$52+H27*$F$53+I27*$F$54,4)</f>
        <v>1.0456000000000001</v>
      </c>
      <c r="M27" s="238"/>
      <c r="N27"/>
      <c r="O27" s="63"/>
      <c r="P27"/>
      <c r="Q27" s="63"/>
    </row>
    <row r="28" spans="2:17" ht="22.5" customHeight="1" x14ac:dyDescent="0.2">
      <c r="B28" s="56">
        <v>2</v>
      </c>
      <c r="C28" s="4" t="s">
        <v>5</v>
      </c>
      <c r="D28" s="3">
        <f>+'Oferta Ejemplo'!D28</f>
        <v>0.2</v>
      </c>
      <c r="E28" s="2">
        <f>+'Oferta Ejemplo'!E28</f>
        <v>0.2</v>
      </c>
      <c r="F28" s="2">
        <f>+'Oferta Ejemplo'!F28</f>
        <v>0.4</v>
      </c>
      <c r="G28" s="2">
        <f>+'Oferta Ejemplo'!G28</f>
        <v>0.2</v>
      </c>
      <c r="H28" s="2">
        <f>+'Oferta Ejemplo'!H28</f>
        <v>0</v>
      </c>
      <c r="I28" s="1"/>
      <c r="J28" s="230">
        <f t="shared" ref="J28:J33" si="2">ROUND(+D28*$F$49+E28*$F$50+F28*$F$51+G28*$F$52+H28*$F$53+I28*$F$54,4)</f>
        <v>1.0871</v>
      </c>
      <c r="M28" s="238"/>
      <c r="N28"/>
      <c r="O28" s="63"/>
      <c r="P28"/>
      <c r="Q28" s="63"/>
    </row>
    <row r="29" spans="2:17" ht="22.5" customHeight="1" x14ac:dyDescent="0.2">
      <c r="B29" s="56">
        <v>3</v>
      </c>
      <c r="C29" s="8" t="s">
        <v>4</v>
      </c>
      <c r="D29" s="3">
        <f>+'Oferta Ejemplo'!D29</f>
        <v>0.25</v>
      </c>
      <c r="E29" s="2">
        <f>+'Oferta Ejemplo'!E29</f>
        <v>0.25</v>
      </c>
      <c r="F29" s="2">
        <f>+'Oferta Ejemplo'!F29</f>
        <v>0.4</v>
      </c>
      <c r="G29" s="2">
        <f>+'Oferta Ejemplo'!G29</f>
        <v>0.1</v>
      </c>
      <c r="H29" s="2">
        <f>+'Oferta Ejemplo'!H29</f>
        <v>0</v>
      </c>
      <c r="I29" s="1"/>
      <c r="J29" s="230">
        <f t="shared" si="2"/>
        <v>1.0653999999999999</v>
      </c>
      <c r="M29" s="238"/>
      <c r="N29"/>
      <c r="O29" s="63"/>
      <c r="P29"/>
      <c r="Q29" s="63"/>
    </row>
    <row r="30" spans="2:17" ht="22.5" customHeight="1" x14ac:dyDescent="0.2">
      <c r="B30" s="56">
        <v>4</v>
      </c>
      <c r="C30" s="4" t="s">
        <v>3</v>
      </c>
      <c r="D30" s="7"/>
      <c r="E30" s="6"/>
      <c r="F30" s="6"/>
      <c r="G30" s="6"/>
      <c r="H30" s="6"/>
      <c r="I30" s="5">
        <v>1</v>
      </c>
      <c r="J30" s="230">
        <f t="shared" si="2"/>
        <v>1</v>
      </c>
      <c r="M30" s="238"/>
      <c r="N30"/>
      <c r="O30" s="63"/>
      <c r="P30"/>
      <c r="Q30" s="63"/>
    </row>
    <row r="31" spans="2:17" ht="22.5" customHeight="1" x14ac:dyDescent="0.2">
      <c r="B31" s="56">
        <v>5</v>
      </c>
      <c r="C31" s="4" t="s">
        <v>2</v>
      </c>
      <c r="D31" s="7"/>
      <c r="E31" s="6"/>
      <c r="F31" s="6"/>
      <c r="G31" s="6"/>
      <c r="H31" s="212">
        <f>+'Oferta Ejemplo'!H31</f>
        <v>1</v>
      </c>
      <c r="I31" s="1"/>
      <c r="J31" s="230">
        <f t="shared" si="2"/>
        <v>1.0694999999999999</v>
      </c>
      <c r="M31" s="238"/>
      <c r="N31"/>
      <c r="O31" s="63"/>
      <c r="P31"/>
      <c r="Q31" s="63"/>
    </row>
    <row r="32" spans="2:17" ht="22.5" customHeight="1" x14ac:dyDescent="0.2">
      <c r="B32" s="56">
        <v>6</v>
      </c>
      <c r="C32" s="4" t="s">
        <v>37</v>
      </c>
      <c r="D32" s="3">
        <f>+'Oferta Ejemplo'!D32</f>
        <v>0</v>
      </c>
      <c r="E32" s="2">
        <f>+'Oferta Ejemplo'!E32</f>
        <v>0.5</v>
      </c>
      <c r="F32" s="2">
        <f>+'Oferta Ejemplo'!F32</f>
        <v>0.5</v>
      </c>
      <c r="G32" s="2">
        <f>+'Oferta Ejemplo'!G32</f>
        <v>0</v>
      </c>
      <c r="H32" s="2">
        <f>+'Oferta Ejemplo'!H32</f>
        <v>0</v>
      </c>
      <c r="I32" s="1"/>
      <c r="J32" s="230">
        <f t="shared" si="2"/>
        <v>1.0334000000000001</v>
      </c>
      <c r="M32" s="238"/>
      <c r="N32"/>
      <c r="O32" s="63"/>
      <c r="P32"/>
      <c r="Q32" s="63"/>
    </row>
    <row r="33" spans="2:17" ht="22.5" customHeight="1" thickBot="1" x14ac:dyDescent="0.25">
      <c r="B33" s="58">
        <v>7</v>
      </c>
      <c r="C33" s="51" t="s">
        <v>0</v>
      </c>
      <c r="D33" s="52">
        <f>+'Oferta Ejemplo'!D33</f>
        <v>0.2</v>
      </c>
      <c r="E33" s="53">
        <f>+'Oferta Ejemplo'!E33</f>
        <v>0.15</v>
      </c>
      <c r="F33" s="53">
        <f>+'Oferta Ejemplo'!F33</f>
        <v>0.4</v>
      </c>
      <c r="G33" s="53">
        <f>+'Oferta Ejemplo'!G33</f>
        <v>0.25</v>
      </c>
      <c r="H33" s="94">
        <f>+'Oferta Ejemplo'!H33</f>
        <v>0</v>
      </c>
      <c r="I33" s="54"/>
      <c r="J33" s="230">
        <f t="shared" si="2"/>
        <v>1.0992999999999999</v>
      </c>
      <c r="M33" s="238"/>
      <c r="N33"/>
      <c r="O33" s="63"/>
      <c r="P33"/>
      <c r="Q33" s="63"/>
    </row>
    <row r="34" spans="2:17" ht="23.25" customHeight="1" x14ac:dyDescent="0.2"/>
    <row r="35" spans="2:17" x14ac:dyDescent="0.2">
      <c r="C35" s="336" t="s">
        <v>138</v>
      </c>
      <c r="D35" s="336"/>
      <c r="E35" s="336"/>
      <c r="F35" s="336"/>
      <c r="G35" s="336"/>
      <c r="H35" s="336"/>
      <c r="I35" s="336"/>
    </row>
    <row r="36" spans="2:17" x14ac:dyDescent="0.2">
      <c r="C36" s="278" t="s">
        <v>139</v>
      </c>
      <c r="D36" s="278"/>
      <c r="E36" s="278"/>
      <c r="F36" s="278"/>
      <c r="G36" s="278"/>
      <c r="H36" s="278"/>
      <c r="I36" s="278"/>
    </row>
    <row r="37" spans="2:17" x14ac:dyDescent="0.2">
      <c r="C37" s="337" t="s">
        <v>140</v>
      </c>
      <c r="D37" s="337"/>
      <c r="E37" s="337"/>
      <c r="F37" s="337"/>
      <c r="G37" s="337"/>
      <c r="H37" s="337"/>
      <c r="I37" s="337"/>
    </row>
    <row r="38" spans="2:17" x14ac:dyDescent="0.2">
      <c r="C38" s="337"/>
      <c r="D38" s="337"/>
      <c r="E38" s="337"/>
      <c r="F38" s="337"/>
      <c r="G38" s="337"/>
      <c r="H38" s="337"/>
      <c r="I38" s="337"/>
    </row>
    <row r="39" spans="2:17" ht="28.5" customHeight="1" x14ac:dyDescent="0.35">
      <c r="C39" s="279" t="s">
        <v>141</v>
      </c>
      <c r="D39" s="279"/>
      <c r="E39" s="279"/>
      <c r="F39" s="279"/>
      <c r="G39" s="279"/>
      <c r="H39" s="279"/>
      <c r="I39" s="279"/>
      <c r="J39" s="60"/>
      <c r="K39" s="61"/>
      <c r="L39" s="62"/>
      <c r="M39" s="61"/>
    </row>
    <row r="40" spans="2:17" ht="18" customHeight="1" x14ac:dyDescent="0.35">
      <c r="C40" s="279" t="s">
        <v>142</v>
      </c>
      <c r="D40" s="279"/>
      <c r="E40" s="279"/>
      <c r="F40" s="279"/>
      <c r="G40" s="279"/>
      <c r="H40" s="279"/>
      <c r="I40" s="279"/>
      <c r="J40" s="60"/>
      <c r="K40" s="61"/>
      <c r="L40" s="62"/>
      <c r="M40" s="61"/>
    </row>
    <row r="41" spans="2:17" ht="31.5" customHeight="1" x14ac:dyDescent="0.35">
      <c r="C41" s="279" t="s">
        <v>143</v>
      </c>
      <c r="D41" s="279"/>
      <c r="E41" s="279"/>
      <c r="F41" s="279"/>
      <c r="G41" s="279"/>
      <c r="H41" s="279"/>
      <c r="I41" s="279"/>
      <c r="J41" s="60"/>
      <c r="K41" s="61"/>
      <c r="L41" s="62"/>
      <c r="M41" s="61"/>
    </row>
    <row r="42" spans="2:17" ht="15" x14ac:dyDescent="0.2">
      <c r="M42" s="61"/>
    </row>
    <row r="43" spans="2:17" ht="15" x14ac:dyDescent="0.2">
      <c r="C43" s="215" t="s">
        <v>106</v>
      </c>
      <c r="M43" s="61"/>
    </row>
    <row r="44" spans="2:17" ht="15" x14ac:dyDescent="0.2">
      <c r="C44" s="215" t="s">
        <v>107</v>
      </c>
      <c r="M44" s="61"/>
    </row>
    <row r="45" spans="2:17" ht="15" x14ac:dyDescent="0.2">
      <c r="C45" s="215"/>
      <c r="M45" s="61"/>
    </row>
    <row r="46" spans="2:17" ht="15.75" x14ac:dyDescent="0.3">
      <c r="L46" s="21"/>
      <c r="M46" s="60"/>
    </row>
    <row r="47" spans="2:17" ht="14.25" customHeight="1" x14ac:dyDescent="0.2">
      <c r="C47" s="213" t="s">
        <v>99</v>
      </c>
      <c r="L47" s="21"/>
      <c r="M47" s="21"/>
    </row>
    <row r="48" spans="2:17" x14ac:dyDescent="0.2">
      <c r="C48" s="222"/>
      <c r="D48" s="223">
        <v>43132</v>
      </c>
      <c r="E48" s="223">
        <v>43221</v>
      </c>
      <c r="F48" s="224" t="s">
        <v>101</v>
      </c>
      <c r="L48" s="21"/>
      <c r="M48" s="21"/>
    </row>
    <row r="49" spans="3:13" x14ac:dyDescent="0.2">
      <c r="C49" s="227" t="s">
        <v>100</v>
      </c>
      <c r="D49" s="226">
        <v>1</v>
      </c>
      <c r="E49" s="226">
        <f>+'Calculo del Disparador'!M5</f>
        <v>1.0569999999999999</v>
      </c>
      <c r="F49" s="226">
        <f t="shared" ref="F49:F54" si="3">+E49/D49</f>
        <v>1.0569999999999999</v>
      </c>
      <c r="L49" s="21"/>
      <c r="M49" s="21"/>
    </row>
    <row r="50" spans="3:13" x14ac:dyDescent="0.2">
      <c r="C50" s="227" t="s">
        <v>102</v>
      </c>
      <c r="D50" s="226">
        <v>1</v>
      </c>
      <c r="E50" s="226">
        <f>+'Calculo del Disparador'!M6</f>
        <v>1</v>
      </c>
      <c r="F50" s="226">
        <f t="shared" si="3"/>
        <v>1</v>
      </c>
      <c r="L50" s="21"/>
      <c r="M50" s="21"/>
    </row>
    <row r="51" spans="3:13" x14ac:dyDescent="0.2">
      <c r="C51" s="227" t="s">
        <v>110</v>
      </c>
      <c r="D51" s="226">
        <v>1</v>
      </c>
      <c r="E51" s="226">
        <f>+'Calculo del Disparador'!J53</f>
        <v>1.0667</v>
      </c>
      <c r="F51" s="226">
        <f t="shared" si="3"/>
        <v>1.0667</v>
      </c>
      <c r="L51" s="21"/>
      <c r="M51" s="21"/>
    </row>
    <row r="52" spans="3:13" x14ac:dyDescent="0.2">
      <c r="C52" s="227" t="s">
        <v>125</v>
      </c>
      <c r="D52" s="226">
        <v>1</v>
      </c>
      <c r="E52" s="226">
        <f>+H59</f>
        <v>1.2450000000000001</v>
      </c>
      <c r="F52" s="226">
        <f t="shared" si="3"/>
        <v>1.2450000000000001</v>
      </c>
      <c r="L52" s="21"/>
      <c r="M52" s="21"/>
    </row>
    <row r="53" spans="3:13" x14ac:dyDescent="0.2">
      <c r="C53" s="227" t="s">
        <v>111</v>
      </c>
      <c r="D53" s="226">
        <v>1</v>
      </c>
      <c r="E53" s="226">
        <f>ROUND(H63,4)</f>
        <v>1.0694999999999999</v>
      </c>
      <c r="F53" s="226">
        <f t="shared" si="3"/>
        <v>1.0694999999999999</v>
      </c>
      <c r="L53" s="21"/>
      <c r="M53" s="21"/>
    </row>
    <row r="54" spans="3:13" x14ac:dyDescent="0.2">
      <c r="C54" s="227" t="s">
        <v>112</v>
      </c>
      <c r="D54" s="226">
        <v>1</v>
      </c>
      <c r="E54" s="226">
        <f>+'Calculo del Disparador'!M8</f>
        <v>1</v>
      </c>
      <c r="F54" s="226">
        <f t="shared" si="3"/>
        <v>1</v>
      </c>
      <c r="L54" s="21"/>
      <c r="M54" s="21"/>
    </row>
    <row r="55" spans="3:13" x14ac:dyDescent="0.2">
      <c r="C55" s="228"/>
      <c r="D55" s="229"/>
      <c r="E55" s="229"/>
      <c r="F55" s="229"/>
      <c r="L55" s="21"/>
      <c r="M55" s="21"/>
    </row>
    <row r="56" spans="3:13" x14ac:dyDescent="0.2">
      <c r="C56" s="275" t="s">
        <v>116</v>
      </c>
      <c r="D56" s="229"/>
      <c r="E56" s="229"/>
      <c r="F56" s="229"/>
      <c r="L56" s="21"/>
      <c r="M56" s="21"/>
    </row>
    <row r="57" spans="3:13" x14ac:dyDescent="0.2">
      <c r="C57" s="225" t="s">
        <v>125</v>
      </c>
      <c r="D57" s="218"/>
      <c r="E57" s="223">
        <v>43160</v>
      </c>
      <c r="F57" s="223">
        <v>43191</v>
      </c>
      <c r="G57" s="223">
        <v>43221</v>
      </c>
      <c r="L57" s="21"/>
      <c r="M57" s="21"/>
    </row>
    <row r="58" spans="3:13" x14ac:dyDescent="0.2">
      <c r="C58" s="216" t="s">
        <v>126</v>
      </c>
      <c r="D58" s="254">
        <v>20.350000000000001</v>
      </c>
      <c r="E58" s="254">
        <v>20.399999999999999</v>
      </c>
      <c r="F58" s="254">
        <v>20</v>
      </c>
      <c r="G58" s="254">
        <v>24.9</v>
      </c>
      <c r="L58" s="21"/>
      <c r="M58" s="21"/>
    </row>
    <row r="59" spans="3:13" x14ac:dyDescent="0.2">
      <c r="C59" s="219" t="s">
        <v>87</v>
      </c>
      <c r="D59" s="220">
        <v>100</v>
      </c>
      <c r="E59" s="220">
        <f>ROUND(E58/D58,4)*100</f>
        <v>100.25</v>
      </c>
      <c r="F59" s="220">
        <f>ROUND(F58/E58,4)*100</f>
        <v>98.04</v>
      </c>
      <c r="G59" s="220">
        <f>ROUND(G58/F58,4)*100</f>
        <v>124.50000000000001</v>
      </c>
      <c r="H59" s="221">
        <f>ROUND(G59/D59,4)</f>
        <v>1.2450000000000001</v>
      </c>
      <c r="L59" s="21"/>
      <c r="M59" s="21"/>
    </row>
    <row r="60" spans="3:13" x14ac:dyDescent="0.2">
      <c r="D60" s="218"/>
      <c r="E60" s="218"/>
      <c r="L60" s="21"/>
      <c r="M60" s="21"/>
    </row>
    <row r="61" spans="3:13" x14ac:dyDescent="0.2">
      <c r="C61" s="225" t="s">
        <v>111</v>
      </c>
      <c r="D61" s="218"/>
      <c r="E61" s="223">
        <v>43160</v>
      </c>
      <c r="F61" s="223">
        <v>43191</v>
      </c>
      <c r="G61" s="223">
        <v>43221</v>
      </c>
      <c r="L61" s="21"/>
      <c r="M61" s="21"/>
    </row>
    <row r="62" spans="3:13" x14ac:dyDescent="0.2">
      <c r="C62" s="216" t="s">
        <v>103</v>
      </c>
      <c r="D62" s="82"/>
      <c r="E62" s="217">
        <v>2.5000000000000001E-2</v>
      </c>
      <c r="F62" s="217">
        <v>2.3E-2</v>
      </c>
      <c r="G62" s="217">
        <v>0.02</v>
      </c>
      <c r="L62" s="21"/>
      <c r="M62" s="21"/>
    </row>
    <row r="63" spans="3:13" x14ac:dyDescent="0.2">
      <c r="C63" s="219" t="s">
        <v>87</v>
      </c>
      <c r="D63" s="220">
        <v>100</v>
      </c>
      <c r="E63" s="220">
        <f>ROUND(D63*(1+E62),4)</f>
        <v>102.5</v>
      </c>
      <c r="F63" s="220">
        <f t="shared" ref="F63:G63" si="4">ROUND(E63*(1+F62),4)</f>
        <v>104.8575</v>
      </c>
      <c r="G63" s="220">
        <f t="shared" si="4"/>
        <v>106.9547</v>
      </c>
      <c r="H63" s="221">
        <f>ROUND(G63/D63,4)</f>
        <v>1.0694999999999999</v>
      </c>
      <c r="L63" s="21"/>
      <c r="M63" s="21"/>
    </row>
    <row r="64" spans="3:13" x14ac:dyDescent="0.2">
      <c r="D64" s="218"/>
      <c r="E64" s="218"/>
      <c r="L64" s="21"/>
      <c r="M64" s="21"/>
    </row>
    <row r="65" spans="3:13" x14ac:dyDescent="0.2">
      <c r="D65" s="218"/>
      <c r="E65" s="218"/>
      <c r="L65" s="21"/>
      <c r="M65" s="21"/>
    </row>
    <row r="66" spans="3:13" x14ac:dyDescent="0.2">
      <c r="D66" s="218"/>
      <c r="E66" s="218"/>
      <c r="L66" s="21"/>
      <c r="M66" s="21"/>
    </row>
    <row r="67" spans="3:13" x14ac:dyDescent="0.2">
      <c r="D67" s="218"/>
      <c r="E67" s="218"/>
      <c r="L67" s="21"/>
      <c r="M67" s="21"/>
    </row>
    <row r="68" spans="3:13" x14ac:dyDescent="0.2">
      <c r="D68" s="218"/>
      <c r="E68" s="218"/>
      <c r="L68" s="21"/>
      <c r="M68" s="21"/>
    </row>
    <row r="69" spans="3:13" x14ac:dyDescent="0.2">
      <c r="D69" s="218"/>
      <c r="E69" s="218"/>
      <c r="L69" s="21"/>
      <c r="M69" s="21"/>
    </row>
    <row r="70" spans="3:13" x14ac:dyDescent="0.2">
      <c r="D70" s="218"/>
      <c r="E70" s="218"/>
      <c r="L70" s="21"/>
      <c r="M70" s="21"/>
    </row>
    <row r="71" spans="3:13" x14ac:dyDescent="0.2">
      <c r="C71" s="213"/>
      <c r="D71" s="218"/>
      <c r="E71" s="218"/>
      <c r="L71" s="21"/>
      <c r="M71" s="21"/>
    </row>
    <row r="72" spans="3:13" x14ac:dyDescent="0.2">
      <c r="C72" s="213"/>
      <c r="D72" s="218"/>
      <c r="E72" s="218"/>
      <c r="L72" s="21"/>
      <c r="M72" s="21"/>
    </row>
    <row r="73" spans="3:13" x14ac:dyDescent="0.2">
      <c r="L73" s="21"/>
      <c r="M73" s="21"/>
    </row>
    <row r="74" spans="3:13" x14ac:dyDescent="0.2">
      <c r="L74" s="21"/>
      <c r="M74" s="21"/>
    </row>
    <row r="75" spans="3:13" x14ac:dyDescent="0.2">
      <c r="L75" s="21"/>
      <c r="M75" s="21"/>
    </row>
    <row r="76" spans="3:13" x14ac:dyDescent="0.2">
      <c r="L76" s="21"/>
    </row>
    <row r="78" spans="3:13" x14ac:dyDescent="0.2">
      <c r="C78" s="213"/>
      <c r="D78" s="214"/>
      <c r="E78" s="214"/>
      <c r="F78" s="214"/>
    </row>
    <row r="79" spans="3:13" x14ac:dyDescent="0.2">
      <c r="C79" s="213"/>
      <c r="D79" s="214"/>
      <c r="E79" s="214"/>
      <c r="F79" s="214"/>
    </row>
    <row r="80" spans="3:13" x14ac:dyDescent="0.2">
      <c r="C80" s="213"/>
      <c r="D80" s="214"/>
      <c r="E80" s="214"/>
      <c r="F80" s="214"/>
    </row>
    <row r="81" spans="3:6" x14ac:dyDescent="0.2">
      <c r="C81" s="213"/>
      <c r="D81" s="214"/>
      <c r="E81" s="214"/>
      <c r="F81" s="214"/>
    </row>
    <row r="82" spans="3:6" x14ac:dyDescent="0.2">
      <c r="C82" s="213"/>
    </row>
  </sheetData>
  <mergeCells count="8">
    <mergeCell ref="D24:I24"/>
    <mergeCell ref="C25:C26"/>
    <mergeCell ref="C35:I35"/>
    <mergeCell ref="C36:I36"/>
    <mergeCell ref="C37:I38"/>
    <mergeCell ref="C39:I39"/>
    <mergeCell ref="C40:I40"/>
    <mergeCell ref="C41:I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4"/>
  <sheetViews>
    <sheetView showGridLines="0" zoomScale="80" zoomScaleNormal="80" workbookViewId="0">
      <selection activeCell="B3" sqref="B3"/>
    </sheetView>
  </sheetViews>
  <sheetFormatPr baseColWidth="10" defaultRowHeight="12.75" x14ac:dyDescent="0.2"/>
  <cols>
    <col min="2" max="2" width="24.28515625" customWidth="1"/>
    <col min="11" max="11" width="22.5703125" customWidth="1"/>
  </cols>
  <sheetData>
    <row r="3" spans="2:7" ht="15.75" x14ac:dyDescent="0.25">
      <c r="B3" s="89" t="s">
        <v>50</v>
      </c>
    </row>
    <row r="4" spans="2:7" x14ac:dyDescent="0.2">
      <c r="B4" s="102"/>
      <c r="C4" s="122" t="s">
        <v>59</v>
      </c>
      <c r="D4" s="122" t="s">
        <v>55</v>
      </c>
      <c r="E4" s="122" t="s">
        <v>56</v>
      </c>
      <c r="F4" s="122" t="s">
        <v>57</v>
      </c>
      <c r="G4" s="122" t="s">
        <v>67</v>
      </c>
    </row>
    <row r="5" spans="2:7" x14ac:dyDescent="0.2">
      <c r="B5" s="109"/>
      <c r="C5" s="123" t="s">
        <v>62</v>
      </c>
      <c r="D5" s="123" t="s">
        <v>63</v>
      </c>
      <c r="E5" s="123" t="s">
        <v>64</v>
      </c>
      <c r="F5" s="123" t="s">
        <v>65</v>
      </c>
      <c r="G5" s="123" t="s">
        <v>66</v>
      </c>
    </row>
    <row r="6" spans="2:7" x14ac:dyDescent="0.2">
      <c r="B6" s="101" t="s">
        <v>51</v>
      </c>
      <c r="C6" s="102"/>
      <c r="D6" s="102"/>
      <c r="E6" s="102"/>
      <c r="F6" s="102"/>
      <c r="G6" s="102"/>
    </row>
    <row r="7" spans="2:7" x14ac:dyDescent="0.2">
      <c r="B7" s="103" t="s">
        <v>52</v>
      </c>
      <c r="C7" s="104">
        <v>0.16666666666666666</v>
      </c>
      <c r="D7" s="105">
        <v>1.1639999999999999</v>
      </c>
      <c r="E7" s="120">
        <v>1.5620000000000001</v>
      </c>
      <c r="F7" s="105">
        <f>ROUND(E7/D7,4)</f>
        <v>1.3419000000000001</v>
      </c>
      <c r="G7" s="105">
        <f>+ROUND(C7*F7,4)</f>
        <v>0.22370000000000001</v>
      </c>
    </row>
    <row r="8" spans="2:7" x14ac:dyDescent="0.2">
      <c r="B8" s="103" t="s">
        <v>53</v>
      </c>
      <c r="C8" s="104">
        <v>0.16666666666666666</v>
      </c>
      <c r="D8" s="105">
        <v>1.159</v>
      </c>
      <c r="E8" s="120">
        <v>1.4910000000000001</v>
      </c>
      <c r="F8" s="105">
        <f t="shared" ref="F8:F9" si="0">ROUND(E8/D8,4)</f>
        <v>1.2865</v>
      </c>
      <c r="G8" s="105">
        <f t="shared" ref="G8:G9" si="1">+ROUND(C8*F8,4)</f>
        <v>0.21440000000000001</v>
      </c>
    </row>
    <row r="9" spans="2:7" x14ac:dyDescent="0.2">
      <c r="B9" s="103" t="s">
        <v>54</v>
      </c>
      <c r="C9" s="104">
        <v>0.16666666666666666</v>
      </c>
      <c r="D9" s="105">
        <v>1.1539999999999999</v>
      </c>
      <c r="E9" s="120">
        <v>1.42</v>
      </c>
      <c r="F9" s="105">
        <f t="shared" si="0"/>
        <v>1.2304999999999999</v>
      </c>
      <c r="G9" s="105">
        <f t="shared" si="1"/>
        <v>0.2051</v>
      </c>
    </row>
    <row r="10" spans="2:7" x14ac:dyDescent="0.2">
      <c r="B10" s="105"/>
      <c r="C10" s="105"/>
      <c r="D10" s="105"/>
      <c r="E10" s="120"/>
      <c r="F10" s="105"/>
      <c r="G10" s="105"/>
    </row>
    <row r="11" spans="2:7" x14ac:dyDescent="0.2">
      <c r="B11" s="106" t="s">
        <v>58</v>
      </c>
      <c r="C11" s="105"/>
      <c r="D11" s="105"/>
      <c r="E11" s="120"/>
      <c r="F11" s="105"/>
      <c r="G11" s="105"/>
    </row>
    <row r="12" spans="2:7" x14ac:dyDescent="0.2">
      <c r="B12" s="103" t="s">
        <v>52</v>
      </c>
      <c r="C12" s="104">
        <v>0.16666666666666666</v>
      </c>
      <c r="D12" s="105">
        <v>1.1639999999999999</v>
      </c>
      <c r="E12" s="120">
        <v>1.5620000000000001</v>
      </c>
      <c r="F12" s="105">
        <f>ROUND(E12/D12,4)</f>
        <v>1.3419000000000001</v>
      </c>
      <c r="G12" s="105">
        <f t="shared" ref="G12:G14" si="2">+ROUND(C12*F12,4)</f>
        <v>0.22370000000000001</v>
      </c>
    </row>
    <row r="13" spans="2:7" x14ac:dyDescent="0.2">
      <c r="B13" s="103" t="s">
        <v>53</v>
      </c>
      <c r="C13" s="104">
        <v>0.16666666666666666</v>
      </c>
      <c r="D13" s="105">
        <v>1.159</v>
      </c>
      <c r="E13" s="120">
        <v>1.4910000000000001</v>
      </c>
      <c r="F13" s="105">
        <f t="shared" ref="F13:F14" si="3">ROUND(E13/D13,4)</f>
        <v>1.2865</v>
      </c>
      <c r="G13" s="105">
        <f t="shared" si="2"/>
        <v>0.21440000000000001</v>
      </c>
    </row>
    <row r="14" spans="2:7" x14ac:dyDescent="0.2">
      <c r="B14" s="107" t="s">
        <v>54</v>
      </c>
      <c r="C14" s="108">
        <v>0.16666666666666666</v>
      </c>
      <c r="D14" s="109">
        <v>1.1539999999999999</v>
      </c>
      <c r="E14" s="121">
        <v>1.42</v>
      </c>
      <c r="F14" s="109">
        <f t="shared" si="3"/>
        <v>1.2304999999999999</v>
      </c>
      <c r="G14" s="109">
        <f t="shared" si="2"/>
        <v>0.2051</v>
      </c>
    </row>
    <row r="15" spans="2:7" x14ac:dyDescent="0.2">
      <c r="B15" s="100"/>
      <c r="C15" s="100"/>
      <c r="D15" s="100"/>
      <c r="E15" s="110"/>
      <c r="F15" s="111"/>
      <c r="G15" s="112"/>
    </row>
    <row r="16" spans="2:7" x14ac:dyDescent="0.2">
      <c r="B16" s="100"/>
      <c r="C16" s="100"/>
      <c r="D16" s="100"/>
      <c r="E16" s="113" t="s">
        <v>60</v>
      </c>
      <c r="F16" s="114"/>
      <c r="G16" s="118">
        <f>SUM(G7:G14)</f>
        <v>1.2864</v>
      </c>
    </row>
    <row r="17" spans="1:7" x14ac:dyDescent="0.2">
      <c r="B17" s="100"/>
      <c r="C17" s="100"/>
      <c r="D17" s="100"/>
      <c r="E17" s="115"/>
      <c r="F17" s="114"/>
      <c r="G17" s="118"/>
    </row>
    <row r="18" spans="1:7" x14ac:dyDescent="0.2">
      <c r="B18" s="100"/>
      <c r="C18" s="100"/>
      <c r="D18" s="100"/>
      <c r="E18" s="116" t="s">
        <v>61</v>
      </c>
      <c r="F18" s="117"/>
      <c r="G18" s="119">
        <f>+G16-1</f>
        <v>0.28639999999999999</v>
      </c>
    </row>
    <row r="20" spans="1:7" x14ac:dyDescent="0.2">
      <c r="A20" s="99" t="s">
        <v>45</v>
      </c>
    </row>
    <row r="22" spans="1:7" x14ac:dyDescent="0.2">
      <c r="A22" t="s">
        <v>47</v>
      </c>
    </row>
    <row r="24" spans="1:7" x14ac:dyDescent="0.2">
      <c r="A24" t="s">
        <v>46</v>
      </c>
    </row>
    <row r="40" spans="1:1" x14ac:dyDescent="0.2">
      <c r="A40" s="99" t="s">
        <v>49</v>
      </c>
    </row>
    <row r="42" spans="1:1" x14ac:dyDescent="0.2">
      <c r="A42" t="s">
        <v>47</v>
      </c>
    </row>
    <row r="44" spans="1:1" x14ac:dyDescent="0.2">
      <c r="A44" t="s">
        <v>48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Oferta Ejemplo</vt:lpstr>
      <vt:lpstr>Disparador Ejemplo</vt:lpstr>
      <vt:lpstr>Calculo del Disparador</vt:lpstr>
      <vt:lpstr>REDET DEF FEB18</vt:lpstr>
      <vt:lpstr>REDET DEF MAY18</vt:lpstr>
      <vt:lpstr>Indice Energía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Henry</dc:creator>
  <cp:lastModifiedBy>Miguel Henry</cp:lastModifiedBy>
  <cp:lastPrinted>2018-04-09T19:54:55Z</cp:lastPrinted>
  <dcterms:created xsi:type="dcterms:W3CDTF">2018-03-19T19:46:34Z</dcterms:created>
  <dcterms:modified xsi:type="dcterms:W3CDTF">2018-05-28T16:53:36Z</dcterms:modified>
</cp:coreProperties>
</file>